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.9\Deportes\IMD\PORTAL DE TRANSPARENCIA\5. Información en materia de retribuciones\2024\5.3 RETRIBUCIONES DEL PERSONAL FUNCIONARIO Y LABORAL DEL IMD\"/>
    </mc:Choice>
  </mc:AlternateContent>
  <xr:revisionPtr revIDLastSave="0" documentId="13_ncr:1_{CC986924-540F-4445-80DE-33447612045E}" xr6:coauthVersionLast="47" xr6:coauthVersionMax="47" xr10:uidLastSave="{00000000-0000-0000-0000-000000000000}"/>
  <bookViews>
    <workbookView xWindow="28680" yWindow="-120" windowWidth="29040" windowHeight="15840" firstSheet="3" activeTab="5" xr2:uid="{00000000-000D-0000-FFFF-FFFF00000000}"/>
  </bookViews>
  <sheets>
    <sheet name="trienios 2024" sheetId="22" r:id="rId1"/>
    <sheet name="TABLA SALARIAL 2024 (23 X 2%)" sheetId="19" r:id="rId2"/>
    <sheet name="personal imd 2024" sheetId="21" r:id="rId3"/>
    <sheet name="trienios 2025" sheetId="23" r:id="rId4"/>
    <sheet name="SIMULACRO TABLA 24" sheetId="20" r:id="rId5"/>
    <sheet name="PRESUPUESTO 2025 CAP1" sheetId="16" r:id="rId6"/>
    <sheet name="Hoja1" sheetId="24" r:id="rId7"/>
    <sheet name="ESTABILIZACIÓN PERSONAL TEMP." sheetId="1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0" l="1"/>
  <c r="S13" i="21" l="1"/>
  <c r="F26" i="18" l="1"/>
  <c r="G128" i="21" l="1"/>
  <c r="G90" i="21"/>
  <c r="G87" i="21"/>
  <c r="G82" i="21"/>
  <c r="G79" i="21"/>
  <c r="G69" i="21"/>
  <c r="G53" i="21"/>
  <c r="G47" i="21"/>
  <c r="G28" i="21"/>
  <c r="G21" i="21"/>
  <c r="G13" i="21"/>
  <c r="G10" i="21"/>
  <c r="F7" i="23"/>
  <c r="I10" i="23"/>
  <c r="I11" i="23"/>
  <c r="I9" i="23"/>
  <c r="I12" i="23"/>
  <c r="I8" i="23"/>
  <c r="I7" i="23"/>
  <c r="I6" i="23"/>
  <c r="I5" i="23"/>
  <c r="I13" i="23"/>
  <c r="I4" i="23"/>
  <c r="I3" i="23"/>
  <c r="I2" i="23"/>
  <c r="I19" i="23"/>
  <c r="I18" i="23"/>
  <c r="I17" i="23"/>
  <c r="I16" i="23"/>
  <c r="I15" i="23"/>
  <c r="I14" i="23"/>
  <c r="U131" i="21" l="1"/>
  <c r="U130" i="21"/>
  <c r="T131" i="21"/>
  <c r="T130" i="21"/>
  <c r="Q131" i="21"/>
  <c r="Q130" i="21"/>
  <c r="O131" i="21"/>
  <c r="O130" i="21"/>
  <c r="M131" i="21"/>
  <c r="M130" i="21"/>
  <c r="L131" i="21"/>
  <c r="L130" i="21"/>
  <c r="U129" i="21"/>
  <c r="U128" i="21"/>
  <c r="T129" i="21"/>
  <c r="T128" i="21"/>
  <c r="Q129" i="21"/>
  <c r="Q128" i="21"/>
  <c r="O129" i="21"/>
  <c r="O128" i="21"/>
  <c r="M129" i="21"/>
  <c r="X129" i="21" s="1"/>
  <c r="M128" i="21"/>
  <c r="L129" i="21"/>
  <c r="L128" i="21"/>
  <c r="U127" i="21"/>
  <c r="T127" i="21"/>
  <c r="Q127" i="21"/>
  <c r="O127" i="21"/>
  <c r="M127" i="21"/>
  <c r="L127" i="21"/>
  <c r="U122" i="21"/>
  <c r="U121" i="21"/>
  <c r="U120" i="21"/>
  <c r="U119" i="21"/>
  <c r="U118" i="21"/>
  <c r="U117" i="21"/>
  <c r="U116" i="21"/>
  <c r="U115" i="21"/>
  <c r="U113" i="21"/>
  <c r="U112" i="21"/>
  <c r="U110" i="21"/>
  <c r="U109" i="21"/>
  <c r="U108" i="21"/>
  <c r="U107" i="21"/>
  <c r="U106" i="21"/>
  <c r="U105" i="21"/>
  <c r="U104" i="21"/>
  <c r="U103" i="21"/>
  <c r="U102" i="21"/>
  <c r="U101" i="21"/>
  <c r="U100" i="21"/>
  <c r="U99" i="21"/>
  <c r="U98" i="21"/>
  <c r="U97" i="21"/>
  <c r="T122" i="21"/>
  <c r="T121" i="21"/>
  <c r="T120" i="21"/>
  <c r="T119" i="21"/>
  <c r="T118" i="21"/>
  <c r="T117" i="21"/>
  <c r="T116" i="21"/>
  <c r="T115" i="21"/>
  <c r="T113" i="21"/>
  <c r="T112" i="21"/>
  <c r="T110" i="21"/>
  <c r="T109" i="21"/>
  <c r="T108" i="21"/>
  <c r="T107" i="21"/>
  <c r="T106" i="21"/>
  <c r="T105" i="21"/>
  <c r="T104" i="21"/>
  <c r="T103" i="21"/>
  <c r="T102" i="21"/>
  <c r="T101" i="21"/>
  <c r="T100" i="21"/>
  <c r="T99" i="21"/>
  <c r="T98" i="21"/>
  <c r="T97" i="21"/>
  <c r="Q122" i="21"/>
  <c r="Q121" i="21"/>
  <c r="Q120" i="21"/>
  <c r="Q119" i="21"/>
  <c r="Q118" i="21"/>
  <c r="Q117" i="21"/>
  <c r="Q116" i="21"/>
  <c r="Q115" i="21"/>
  <c r="Q113" i="21"/>
  <c r="Q112" i="21"/>
  <c r="Q110" i="21"/>
  <c r="Q109" i="21"/>
  <c r="Q108" i="21"/>
  <c r="Q107" i="21"/>
  <c r="Q106" i="21"/>
  <c r="Q105" i="21"/>
  <c r="Q104" i="21"/>
  <c r="Q103" i="21"/>
  <c r="Q102" i="21"/>
  <c r="Q101" i="21"/>
  <c r="Q100" i="21"/>
  <c r="Q99" i="21"/>
  <c r="Q98" i="21"/>
  <c r="Q97" i="21"/>
  <c r="O122" i="21"/>
  <c r="O121" i="21"/>
  <c r="O120" i="21"/>
  <c r="O119" i="21"/>
  <c r="O118" i="21"/>
  <c r="O117" i="21"/>
  <c r="O116" i="21"/>
  <c r="O115" i="21"/>
  <c r="O113" i="21"/>
  <c r="O112" i="21"/>
  <c r="O110" i="21"/>
  <c r="O109" i="21"/>
  <c r="O108" i="21"/>
  <c r="O107" i="21"/>
  <c r="O106" i="21"/>
  <c r="O105" i="21"/>
  <c r="O104" i="21"/>
  <c r="O103" i="21"/>
  <c r="O102" i="21"/>
  <c r="O101" i="21"/>
  <c r="O100" i="21"/>
  <c r="O99" i="21"/>
  <c r="O98" i="21"/>
  <c r="O97" i="21"/>
  <c r="M122" i="21"/>
  <c r="M121" i="21"/>
  <c r="M120" i="21"/>
  <c r="M119" i="21"/>
  <c r="M118" i="21"/>
  <c r="M117" i="21"/>
  <c r="M116" i="21"/>
  <c r="M115" i="21"/>
  <c r="M113" i="21"/>
  <c r="M112" i="21"/>
  <c r="M110" i="21"/>
  <c r="M109" i="21"/>
  <c r="M108" i="21"/>
  <c r="M107" i="21"/>
  <c r="M106" i="21"/>
  <c r="M105" i="21"/>
  <c r="M104" i="21"/>
  <c r="M103" i="21"/>
  <c r="M102" i="21"/>
  <c r="M101" i="21"/>
  <c r="M100" i="21"/>
  <c r="M99" i="21"/>
  <c r="M98" i="21"/>
  <c r="M97" i="21"/>
  <c r="L122" i="21"/>
  <c r="L121" i="21"/>
  <c r="L120" i="21"/>
  <c r="L119" i="21"/>
  <c r="L118" i="21"/>
  <c r="L117" i="21"/>
  <c r="L116" i="21"/>
  <c r="L115" i="21"/>
  <c r="L113" i="21"/>
  <c r="L112" i="21"/>
  <c r="L110" i="21"/>
  <c r="L109" i="21"/>
  <c r="L108" i="21"/>
  <c r="L107" i="21"/>
  <c r="L106" i="21"/>
  <c r="L105" i="21"/>
  <c r="L104" i="21"/>
  <c r="L103" i="21"/>
  <c r="L102" i="21"/>
  <c r="L101" i="21"/>
  <c r="L100" i="21"/>
  <c r="L99" i="21"/>
  <c r="L98" i="21"/>
  <c r="L97" i="21"/>
  <c r="U96" i="21"/>
  <c r="U95" i="21"/>
  <c r="U94" i="21"/>
  <c r="U93" i="21"/>
  <c r="U90" i="21"/>
  <c r="U87" i="21"/>
  <c r="U86" i="21"/>
  <c r="U85" i="21"/>
  <c r="U84" i="21"/>
  <c r="U83" i="21"/>
  <c r="U82" i="21"/>
  <c r="U81" i="21"/>
  <c r="U80" i="21"/>
  <c r="U79" i="21"/>
  <c r="U78" i="21"/>
  <c r="U77" i="21"/>
  <c r="U75" i="21"/>
  <c r="U74" i="21"/>
  <c r="U73" i="21"/>
  <c r="U72" i="21"/>
  <c r="U71" i="21"/>
  <c r="U70" i="21"/>
  <c r="U69" i="21"/>
  <c r="U68" i="21"/>
  <c r="U67" i="21"/>
  <c r="T96" i="21"/>
  <c r="T95" i="21"/>
  <c r="T94" i="21"/>
  <c r="T93" i="21"/>
  <c r="T90" i="21"/>
  <c r="T87" i="21"/>
  <c r="T86" i="21"/>
  <c r="T85" i="21"/>
  <c r="T84" i="21"/>
  <c r="T83" i="21"/>
  <c r="T82" i="21"/>
  <c r="T81" i="21"/>
  <c r="T80" i="21"/>
  <c r="T79" i="21"/>
  <c r="T78" i="21"/>
  <c r="T77" i="21"/>
  <c r="T75" i="21"/>
  <c r="T74" i="21"/>
  <c r="T73" i="21"/>
  <c r="T72" i="21"/>
  <c r="T71" i="21"/>
  <c r="T70" i="21"/>
  <c r="T69" i="21"/>
  <c r="T68" i="21"/>
  <c r="T67" i="21"/>
  <c r="Q96" i="21"/>
  <c r="Q95" i="21"/>
  <c r="Q94" i="21"/>
  <c r="Q93" i="21"/>
  <c r="Q90" i="21"/>
  <c r="Q87" i="21"/>
  <c r="Q86" i="21"/>
  <c r="Q85" i="21"/>
  <c r="Q84" i="21"/>
  <c r="Q83" i="21"/>
  <c r="Q82" i="21"/>
  <c r="Q81" i="21"/>
  <c r="Q80" i="21"/>
  <c r="Q79" i="21"/>
  <c r="Q78" i="21"/>
  <c r="Q77" i="21"/>
  <c r="Q75" i="21"/>
  <c r="Q74" i="21"/>
  <c r="Q73" i="21"/>
  <c r="Q72" i="21"/>
  <c r="Q71" i="21"/>
  <c r="Q70" i="21"/>
  <c r="Q69" i="21"/>
  <c r="Q68" i="21"/>
  <c r="Q67" i="21"/>
  <c r="O96" i="21"/>
  <c r="O95" i="21"/>
  <c r="O94" i="21"/>
  <c r="O93" i="21"/>
  <c r="O90" i="21"/>
  <c r="O87" i="21"/>
  <c r="O86" i="21"/>
  <c r="O85" i="21"/>
  <c r="O84" i="21"/>
  <c r="O83" i="21"/>
  <c r="O82" i="21"/>
  <c r="O81" i="21"/>
  <c r="O80" i="21"/>
  <c r="O79" i="21"/>
  <c r="O78" i="21"/>
  <c r="O77" i="21"/>
  <c r="O75" i="21"/>
  <c r="O74" i="21"/>
  <c r="O73" i="21"/>
  <c r="O72" i="21"/>
  <c r="O71" i="21"/>
  <c r="O70" i="21"/>
  <c r="O69" i="21"/>
  <c r="O68" i="21"/>
  <c r="O67" i="21"/>
  <c r="M88" i="21"/>
  <c r="M96" i="21"/>
  <c r="M95" i="21"/>
  <c r="X95" i="21" s="1"/>
  <c r="M94" i="21"/>
  <c r="X94" i="21" s="1"/>
  <c r="M93" i="21"/>
  <c r="X93" i="21" s="1"/>
  <c r="M90" i="21"/>
  <c r="M87" i="21"/>
  <c r="M86" i="21"/>
  <c r="M85" i="21"/>
  <c r="M84" i="21"/>
  <c r="M83" i="21"/>
  <c r="M82" i="21"/>
  <c r="M81" i="21"/>
  <c r="M80" i="21"/>
  <c r="M79" i="21"/>
  <c r="M78" i="21"/>
  <c r="M77" i="21"/>
  <c r="M75" i="21"/>
  <c r="M74" i="21"/>
  <c r="M73" i="21"/>
  <c r="M72" i="21"/>
  <c r="M71" i="21"/>
  <c r="M70" i="21"/>
  <c r="M69" i="21"/>
  <c r="M68" i="21"/>
  <c r="X68" i="21" s="1"/>
  <c r="M67" i="21"/>
  <c r="X67" i="21" s="1"/>
  <c r="L96" i="21"/>
  <c r="L95" i="21"/>
  <c r="L94" i="21"/>
  <c r="L93" i="21"/>
  <c r="L90" i="21"/>
  <c r="L87" i="21"/>
  <c r="L86" i="21"/>
  <c r="L85" i="21"/>
  <c r="L84" i="21"/>
  <c r="L83" i="21"/>
  <c r="L82" i="21"/>
  <c r="L81" i="21"/>
  <c r="L80" i="21"/>
  <c r="L79" i="21"/>
  <c r="L78" i="21"/>
  <c r="L77" i="21"/>
  <c r="L75" i="21"/>
  <c r="L74" i="21"/>
  <c r="L73" i="21"/>
  <c r="L72" i="21"/>
  <c r="L71" i="21"/>
  <c r="L70" i="21"/>
  <c r="L69" i="21"/>
  <c r="L68" i="21"/>
  <c r="L67" i="21"/>
  <c r="U65" i="21"/>
  <c r="T65" i="21"/>
  <c r="Q65" i="21"/>
  <c r="O65" i="21"/>
  <c r="M65" i="21"/>
  <c r="L65" i="21"/>
  <c r="U64" i="21"/>
  <c r="T64" i="21"/>
  <c r="Q64" i="21"/>
  <c r="O64" i="21"/>
  <c r="M64" i="21"/>
  <c r="L64" i="21"/>
  <c r="U63" i="21"/>
  <c r="T63" i="21"/>
  <c r="Q63" i="21"/>
  <c r="O63" i="21"/>
  <c r="M63" i="21"/>
  <c r="L63" i="21"/>
  <c r="U62" i="21"/>
  <c r="T62" i="21"/>
  <c r="Q62" i="21"/>
  <c r="O62" i="21"/>
  <c r="M62" i="21"/>
  <c r="L62" i="21"/>
  <c r="U60" i="21"/>
  <c r="T60" i="21"/>
  <c r="Q60" i="21"/>
  <c r="O60" i="21"/>
  <c r="M60" i="21"/>
  <c r="L60" i="21"/>
  <c r="Y54" i="21"/>
  <c r="AA54" i="21"/>
  <c r="AB54" i="21"/>
  <c r="U53" i="21"/>
  <c r="T53" i="21"/>
  <c r="Q53" i="21"/>
  <c r="O53" i="21"/>
  <c r="M53" i="21"/>
  <c r="L53" i="21"/>
  <c r="U47" i="21"/>
  <c r="T47" i="21"/>
  <c r="Q47" i="21"/>
  <c r="O47" i="21"/>
  <c r="M47" i="21"/>
  <c r="L47" i="21"/>
  <c r="U46" i="21"/>
  <c r="T46" i="21"/>
  <c r="Q46" i="21"/>
  <c r="O46" i="21"/>
  <c r="M46" i="21"/>
  <c r="L46" i="21"/>
  <c r="U43" i="21"/>
  <c r="T43" i="21"/>
  <c r="Q43" i="21"/>
  <c r="O43" i="21"/>
  <c r="M43" i="21"/>
  <c r="L43" i="21"/>
  <c r="U38" i="21"/>
  <c r="T38" i="21"/>
  <c r="Q38" i="21"/>
  <c r="O38" i="21"/>
  <c r="M38" i="21"/>
  <c r="L38" i="21"/>
  <c r="U37" i="21"/>
  <c r="T37" i="21"/>
  <c r="Q37" i="21"/>
  <c r="O37" i="21"/>
  <c r="M37" i="21"/>
  <c r="L37" i="21"/>
  <c r="U36" i="21"/>
  <c r="T36" i="21"/>
  <c r="Q36" i="21"/>
  <c r="O36" i="21"/>
  <c r="M36" i="21"/>
  <c r="L36" i="21"/>
  <c r="U28" i="21"/>
  <c r="T28" i="21"/>
  <c r="Q28" i="21"/>
  <c r="O28" i="21"/>
  <c r="M28" i="21"/>
  <c r="L28" i="21"/>
  <c r="M22" i="21"/>
  <c r="G22" i="21" l="1"/>
  <c r="G64" i="21"/>
  <c r="G19" i="21"/>
  <c r="U19" i="21"/>
  <c r="M19" i="21"/>
  <c r="X19" i="21" l="1"/>
  <c r="U22" i="21"/>
  <c r="X22" i="21"/>
  <c r="T22" i="21"/>
  <c r="Q22" i="21"/>
  <c r="O22" i="21"/>
  <c r="L22" i="21"/>
  <c r="U21" i="21"/>
  <c r="T21" i="21"/>
  <c r="Q21" i="21"/>
  <c r="O21" i="21"/>
  <c r="M21" i="21"/>
  <c r="L21" i="21"/>
  <c r="T19" i="21" l="1"/>
  <c r="Q19" i="21"/>
  <c r="O19" i="21"/>
  <c r="L19" i="21"/>
  <c r="U14" i="21"/>
  <c r="T14" i="21"/>
  <c r="T13" i="21"/>
  <c r="Q14" i="21"/>
  <c r="O14" i="21"/>
  <c r="M14" i="21"/>
  <c r="L14" i="21"/>
  <c r="U13" i="21"/>
  <c r="Q13" i="21" l="1"/>
  <c r="O13" i="21"/>
  <c r="M13" i="21"/>
  <c r="L13" i="21"/>
  <c r="W13" i="21" s="1"/>
  <c r="U10" i="21"/>
  <c r="T10" i="21"/>
  <c r="Q10" i="21"/>
  <c r="O10" i="21"/>
  <c r="Z10" i="21" s="1"/>
  <c r="M10" i="21"/>
  <c r="L10" i="21"/>
  <c r="M6" i="21"/>
  <c r="X6" i="21" s="1"/>
  <c r="L6" i="21"/>
  <c r="Y6" i="21" s="1"/>
  <c r="AD131" i="21"/>
  <c r="AC131" i="21"/>
  <c r="AB131" i="21"/>
  <c r="Z131" i="21"/>
  <c r="X131" i="21"/>
  <c r="W131" i="21"/>
  <c r="AD130" i="21"/>
  <c r="AC130" i="21"/>
  <c r="AB130" i="21"/>
  <c r="Z130" i="21"/>
  <c r="X130" i="21"/>
  <c r="W130" i="21"/>
  <c r="AD129" i="21"/>
  <c r="AC129" i="21"/>
  <c r="AB129" i="21"/>
  <c r="Z129" i="21"/>
  <c r="W129" i="21"/>
  <c r="AD128" i="21"/>
  <c r="AC128" i="21"/>
  <c r="AB128" i="21"/>
  <c r="Z128" i="21"/>
  <c r="W128" i="21"/>
  <c r="X128" i="21"/>
  <c r="AD127" i="21"/>
  <c r="AC127" i="21"/>
  <c r="AB127" i="21"/>
  <c r="Z127" i="21"/>
  <c r="W127" i="21"/>
  <c r="X127" i="21"/>
  <c r="AD122" i="21"/>
  <c r="AC122" i="21"/>
  <c r="AB122" i="21"/>
  <c r="Z122" i="21"/>
  <c r="X122" i="21"/>
  <c r="W122" i="21"/>
  <c r="AD121" i="21"/>
  <c r="AC121" i="21"/>
  <c r="AB121" i="21"/>
  <c r="Z121" i="21"/>
  <c r="X121" i="21"/>
  <c r="W121" i="21"/>
  <c r="AD120" i="21"/>
  <c r="AC120" i="21"/>
  <c r="AB120" i="21"/>
  <c r="Z120" i="21"/>
  <c r="X120" i="21"/>
  <c r="W120" i="21"/>
  <c r="AD119" i="21"/>
  <c r="AC119" i="21"/>
  <c r="AB119" i="21"/>
  <c r="Z119" i="21"/>
  <c r="X119" i="21"/>
  <c r="W119" i="21"/>
  <c r="AD118" i="21"/>
  <c r="AC118" i="21"/>
  <c r="AB118" i="21"/>
  <c r="Z118" i="21"/>
  <c r="X118" i="21"/>
  <c r="W118" i="21"/>
  <c r="AD117" i="21"/>
  <c r="AC117" i="21"/>
  <c r="AB117" i="21"/>
  <c r="Z117" i="21"/>
  <c r="X117" i="21"/>
  <c r="W117" i="21"/>
  <c r="AD116" i="21"/>
  <c r="AC116" i="21"/>
  <c r="AB116" i="21"/>
  <c r="Z116" i="21"/>
  <c r="X116" i="21"/>
  <c r="W116" i="21"/>
  <c r="AD115" i="21"/>
  <c r="AC115" i="21"/>
  <c r="AB115" i="21"/>
  <c r="Z115" i="21"/>
  <c r="X115" i="21"/>
  <c r="W115" i="21"/>
  <c r="AD114" i="21"/>
  <c r="AC114" i="21"/>
  <c r="AB114" i="21"/>
  <c r="Z114" i="21"/>
  <c r="W114" i="21"/>
  <c r="U114" i="21"/>
  <c r="AA114" i="21"/>
  <c r="M114" i="21"/>
  <c r="AD113" i="21"/>
  <c r="AC113" i="21"/>
  <c r="AB113" i="21"/>
  <c r="Z113" i="21"/>
  <c r="X113" i="21"/>
  <c r="W113" i="21"/>
  <c r="AD112" i="21"/>
  <c r="AC112" i="21"/>
  <c r="AB112" i="21"/>
  <c r="Z112" i="21"/>
  <c r="X112" i="21"/>
  <c r="W112" i="21"/>
  <c r="AD111" i="21"/>
  <c r="AC111" i="21"/>
  <c r="AB111" i="21"/>
  <c r="Z111" i="21"/>
  <c r="W111" i="21"/>
  <c r="U111" i="21"/>
  <c r="Y111" i="21" s="1"/>
  <c r="AA111" i="21"/>
  <c r="M111" i="21"/>
  <c r="X111" i="21" s="1"/>
  <c r="AD110" i="21"/>
  <c r="AC110" i="21"/>
  <c r="AB110" i="21"/>
  <c r="Z110" i="21"/>
  <c r="X110" i="21"/>
  <c r="W110" i="21"/>
  <c r="AD109" i="21"/>
  <c r="AC109" i="21"/>
  <c r="AB109" i="21"/>
  <c r="Z109" i="21"/>
  <c r="X109" i="21"/>
  <c r="W109" i="21"/>
  <c r="AD108" i="21"/>
  <c r="AC108" i="21"/>
  <c r="AB108" i="21"/>
  <c r="Z108" i="21"/>
  <c r="X108" i="21"/>
  <c r="W108" i="21"/>
  <c r="AD107" i="21"/>
  <c r="AC107" i="21"/>
  <c r="AB107" i="21"/>
  <c r="Z107" i="21"/>
  <c r="X107" i="21"/>
  <c r="W107" i="21"/>
  <c r="AD106" i="21"/>
  <c r="AC106" i="21"/>
  <c r="AB106" i="21"/>
  <c r="Z106" i="21"/>
  <c r="X106" i="21"/>
  <c r="W106" i="21"/>
  <c r="AD105" i="21"/>
  <c r="AC105" i="21"/>
  <c r="AB105" i="21"/>
  <c r="Z105" i="21"/>
  <c r="X105" i="21"/>
  <c r="W105" i="21"/>
  <c r="AD104" i="21"/>
  <c r="AC104" i="21"/>
  <c r="AB104" i="21"/>
  <c r="Z104" i="21"/>
  <c r="X104" i="21"/>
  <c r="W104" i="21"/>
  <c r="AD103" i="21"/>
  <c r="AC103" i="21"/>
  <c r="AB103" i="21"/>
  <c r="Z103" i="21"/>
  <c r="X103" i="21"/>
  <c r="W103" i="21"/>
  <c r="AD102" i="21"/>
  <c r="AC102" i="21"/>
  <c r="AB102" i="21"/>
  <c r="Z102" i="21"/>
  <c r="X102" i="21"/>
  <c r="W102" i="21"/>
  <c r="AD101" i="21"/>
  <c r="AC101" i="21"/>
  <c r="AB101" i="21"/>
  <c r="Z101" i="21"/>
  <c r="X101" i="21"/>
  <c r="W101" i="21"/>
  <c r="AD100" i="21"/>
  <c r="AC100" i="21"/>
  <c r="AB100" i="21"/>
  <c r="Z100" i="21"/>
  <c r="X100" i="21"/>
  <c r="W100" i="21"/>
  <c r="AD99" i="21"/>
  <c r="AC99" i="21"/>
  <c r="AB99" i="21"/>
  <c r="Z99" i="21"/>
  <c r="X99" i="21"/>
  <c r="W99" i="21"/>
  <c r="AD98" i="21"/>
  <c r="AC98" i="21"/>
  <c r="AB98" i="21"/>
  <c r="Z98" i="21"/>
  <c r="X98" i="21"/>
  <c r="W98" i="21"/>
  <c r="AD97" i="21"/>
  <c r="AC97" i="21"/>
  <c r="AB97" i="21"/>
  <c r="Z97" i="21"/>
  <c r="X97" i="21"/>
  <c r="W97" i="21"/>
  <c r="AD96" i="21"/>
  <c r="AC96" i="21"/>
  <c r="AB96" i="21"/>
  <c r="Z96" i="21"/>
  <c r="W96" i="21"/>
  <c r="X96" i="21"/>
  <c r="AD95" i="21"/>
  <c r="AC95" i="21"/>
  <c r="AB95" i="21"/>
  <c r="Z95" i="21"/>
  <c r="W95" i="21"/>
  <c r="AD94" i="21"/>
  <c r="AC94" i="21"/>
  <c r="AB94" i="21"/>
  <c r="Z94" i="21"/>
  <c r="W94" i="21"/>
  <c r="AD93" i="21"/>
  <c r="AC93" i="21"/>
  <c r="AB93" i="21"/>
  <c r="Z93" i="21"/>
  <c r="W93" i="21"/>
  <c r="AD92" i="21"/>
  <c r="AC92" i="21"/>
  <c r="AB92" i="21"/>
  <c r="Z92" i="21"/>
  <c r="W92" i="21"/>
  <c r="U92" i="21"/>
  <c r="Y92" i="21" s="1"/>
  <c r="AA92" i="21"/>
  <c r="M92" i="21"/>
  <c r="X92" i="21" s="1"/>
  <c r="AD91" i="21"/>
  <c r="AC91" i="21"/>
  <c r="AB91" i="21"/>
  <c r="AA91" i="21"/>
  <c r="Z91" i="21"/>
  <c r="X91" i="21"/>
  <c r="W91" i="21"/>
  <c r="U91" i="21"/>
  <c r="Y91" i="21"/>
  <c r="AD90" i="21"/>
  <c r="AC90" i="21"/>
  <c r="AB90" i="21"/>
  <c r="Z90" i="21"/>
  <c r="W90" i="21"/>
  <c r="X90" i="21"/>
  <c r="AD89" i="21"/>
  <c r="AC89" i="21"/>
  <c r="AB89" i="21"/>
  <c r="AA89" i="21"/>
  <c r="Z89" i="21"/>
  <c r="X89" i="21"/>
  <c r="W89" i="21"/>
  <c r="U89" i="21"/>
  <c r="Y89" i="21" s="1"/>
  <c r="AD88" i="21"/>
  <c r="AC88" i="21"/>
  <c r="AB88" i="21"/>
  <c r="Z88" i="21"/>
  <c r="W88" i="21"/>
  <c r="AA88" i="21"/>
  <c r="AD87" i="21"/>
  <c r="AC87" i="21"/>
  <c r="AB87" i="21"/>
  <c r="Z87" i="21"/>
  <c r="W87" i="21"/>
  <c r="X87" i="21"/>
  <c r="AD86" i="21"/>
  <c r="AC86" i="21"/>
  <c r="AB86" i="21"/>
  <c r="Z86" i="21"/>
  <c r="W86" i="21"/>
  <c r="X86" i="21"/>
  <c r="AD85" i="21"/>
  <c r="AC85" i="21"/>
  <c r="AB85" i="21"/>
  <c r="Z85" i="21"/>
  <c r="W85" i="21"/>
  <c r="X85" i="21"/>
  <c r="AD84" i="21"/>
  <c r="AC84" i="21"/>
  <c r="AB84" i="21"/>
  <c r="Z84" i="21"/>
  <c r="W84" i="21"/>
  <c r="X84" i="21"/>
  <c r="AD83" i="21"/>
  <c r="AC83" i="21"/>
  <c r="AB83" i="21"/>
  <c r="Z83" i="21"/>
  <c r="W83" i="21"/>
  <c r="X83" i="21"/>
  <c r="AD82" i="21"/>
  <c r="AC82" i="21"/>
  <c r="AB82" i="21"/>
  <c r="Z82" i="21"/>
  <c r="W82" i="21"/>
  <c r="X82" i="21"/>
  <c r="AD81" i="21"/>
  <c r="AC81" i="21"/>
  <c r="AB81" i="21"/>
  <c r="Z81" i="21"/>
  <c r="W81" i="21"/>
  <c r="X81" i="21"/>
  <c r="AD80" i="21"/>
  <c r="AC80" i="21"/>
  <c r="AB80" i="21"/>
  <c r="Z80" i="21"/>
  <c r="W80" i="21"/>
  <c r="X80" i="21"/>
  <c r="AD79" i="21"/>
  <c r="AC79" i="21"/>
  <c r="AB79" i="21"/>
  <c r="Z79" i="21"/>
  <c r="W79" i="21"/>
  <c r="X79" i="21"/>
  <c r="AD78" i="21"/>
  <c r="AC78" i="21"/>
  <c r="AB78" i="21"/>
  <c r="Z78" i="21"/>
  <c r="W78" i="21"/>
  <c r="X78" i="21"/>
  <c r="AD77" i="21"/>
  <c r="AC77" i="21"/>
  <c r="AB77" i="21"/>
  <c r="Z77" i="21"/>
  <c r="W77" i="21"/>
  <c r="X77" i="21"/>
  <c r="AD76" i="21"/>
  <c r="AC76" i="21"/>
  <c r="AB76" i="21"/>
  <c r="Z76" i="21"/>
  <c r="W76" i="21"/>
  <c r="U76" i="21"/>
  <c r="AA76" i="21"/>
  <c r="M76" i="21"/>
  <c r="X76" i="21" s="1"/>
  <c r="AD75" i="21"/>
  <c r="AC75" i="21"/>
  <c r="AB75" i="21"/>
  <c r="Z75" i="21"/>
  <c r="W75" i="21"/>
  <c r="X75" i="21"/>
  <c r="AD74" i="21"/>
  <c r="AC74" i="21"/>
  <c r="AB74" i="21"/>
  <c r="Z74" i="21"/>
  <c r="W74" i="21"/>
  <c r="X74" i="21"/>
  <c r="AD73" i="21"/>
  <c r="AC73" i="21"/>
  <c r="AB73" i="21"/>
  <c r="Z73" i="21"/>
  <c r="W73" i="21"/>
  <c r="X73" i="21"/>
  <c r="AD72" i="21"/>
  <c r="AC72" i="21"/>
  <c r="AB72" i="21"/>
  <c r="Z72" i="21"/>
  <c r="W72" i="21"/>
  <c r="X72" i="21"/>
  <c r="AD71" i="21"/>
  <c r="AC71" i="21"/>
  <c r="AB71" i="21"/>
  <c r="Z71" i="21"/>
  <c r="W71" i="21"/>
  <c r="X71" i="21"/>
  <c r="AD70" i="21"/>
  <c r="AC70" i="21"/>
  <c r="AB70" i="21"/>
  <c r="Z70" i="21"/>
  <c r="W70" i="21"/>
  <c r="X70" i="21"/>
  <c r="AD69" i="21"/>
  <c r="AC69" i="21"/>
  <c r="AB69" i="21"/>
  <c r="Z69" i="21"/>
  <c r="W69" i="21"/>
  <c r="X69" i="21"/>
  <c r="AD68" i="21"/>
  <c r="AC68" i="21"/>
  <c r="AB68" i="21"/>
  <c r="Z68" i="21"/>
  <c r="W68" i="21"/>
  <c r="AD67" i="21"/>
  <c r="AC67" i="21"/>
  <c r="AB67" i="21"/>
  <c r="Z67" i="21"/>
  <c r="W67" i="21"/>
  <c r="AD66" i="21"/>
  <c r="AC66" i="21"/>
  <c r="AB66" i="21"/>
  <c r="Z66" i="21"/>
  <c r="X66" i="21"/>
  <c r="W66" i="21"/>
  <c r="Y66" i="21"/>
  <c r="AD65" i="21"/>
  <c r="AC65" i="21"/>
  <c r="AB65" i="21"/>
  <c r="Z65" i="21"/>
  <c r="W65" i="21"/>
  <c r="X65" i="21"/>
  <c r="AD64" i="21"/>
  <c r="AC64" i="21"/>
  <c r="AB64" i="21"/>
  <c r="Z64" i="21"/>
  <c r="W64" i="21"/>
  <c r="X64" i="21"/>
  <c r="AD63" i="21"/>
  <c r="AC63" i="21"/>
  <c r="AB63" i="21"/>
  <c r="Z63" i="21"/>
  <c r="W63" i="21"/>
  <c r="X63" i="21"/>
  <c r="AD62" i="21"/>
  <c r="AC62" i="21"/>
  <c r="AB62" i="21"/>
  <c r="Z62" i="21"/>
  <c r="W62" i="21"/>
  <c r="X62" i="21"/>
  <c r="AD61" i="21"/>
  <c r="AC61" i="21"/>
  <c r="AB61" i="21"/>
  <c r="Z61" i="21"/>
  <c r="X61" i="21"/>
  <c r="W61" i="21"/>
  <c r="AA61" i="21"/>
  <c r="AD60" i="21"/>
  <c r="AC60" i="21"/>
  <c r="AB60" i="21"/>
  <c r="Z60" i="21"/>
  <c r="X60" i="21"/>
  <c r="W60" i="21"/>
  <c r="AD55" i="21"/>
  <c r="AC55" i="21"/>
  <c r="AB55" i="21"/>
  <c r="Z55" i="21"/>
  <c r="X55" i="21"/>
  <c r="W55" i="21"/>
  <c r="Y55" i="21"/>
  <c r="AD54" i="21"/>
  <c r="AC54" i="21"/>
  <c r="Z54" i="21"/>
  <c r="W54" i="21"/>
  <c r="M54" i="21"/>
  <c r="X54" i="21" s="1"/>
  <c r="AD53" i="21"/>
  <c r="AC53" i="21"/>
  <c r="AB53" i="21"/>
  <c r="Z53" i="21"/>
  <c r="W53" i="21"/>
  <c r="X53" i="21"/>
  <c r="AD48" i="21"/>
  <c r="AC48" i="21"/>
  <c r="AB48" i="21"/>
  <c r="Z48" i="21"/>
  <c r="X48" i="21"/>
  <c r="W48" i="21"/>
  <c r="N48" i="21"/>
  <c r="Y48" i="21" s="1"/>
  <c r="AD47" i="21"/>
  <c r="AC47" i="21"/>
  <c r="AB47" i="21"/>
  <c r="Z47" i="21"/>
  <c r="W47" i="21"/>
  <c r="X47" i="21"/>
  <c r="AD46" i="21"/>
  <c r="AC46" i="21"/>
  <c r="AB46" i="21"/>
  <c r="Z46" i="21"/>
  <c r="W46" i="21"/>
  <c r="X46" i="21"/>
  <c r="AD45" i="21"/>
  <c r="AC45" i="21"/>
  <c r="AB45" i="21"/>
  <c r="Z45" i="21"/>
  <c r="X45" i="21"/>
  <c r="W45" i="21"/>
  <c r="AA45" i="21"/>
  <c r="AD44" i="21"/>
  <c r="AC44" i="21"/>
  <c r="AB44" i="21"/>
  <c r="AA44" i="21"/>
  <c r="Z44" i="21"/>
  <c r="X44" i="21"/>
  <c r="W44" i="21"/>
  <c r="Y44" i="21"/>
  <c r="AD43" i="21"/>
  <c r="AC43" i="21"/>
  <c r="AB43" i="21"/>
  <c r="Z43" i="21"/>
  <c r="W43" i="21"/>
  <c r="X43" i="21"/>
  <c r="AD38" i="21"/>
  <c r="AC38" i="21"/>
  <c r="AB38" i="21"/>
  <c r="Z38" i="21"/>
  <c r="W38" i="21"/>
  <c r="X38" i="21"/>
  <c r="AD37" i="21"/>
  <c r="AC37" i="21"/>
  <c r="AB37" i="21"/>
  <c r="Z37" i="21"/>
  <c r="W37" i="21"/>
  <c r="X37" i="21"/>
  <c r="AD36" i="21"/>
  <c r="AC36" i="21"/>
  <c r="AB36" i="21"/>
  <c r="Z36" i="21"/>
  <c r="W36" i="21"/>
  <c r="X36" i="21"/>
  <c r="AD35" i="21"/>
  <c r="AC35" i="21"/>
  <c r="AB35" i="21"/>
  <c r="AA35" i="21"/>
  <c r="Z35" i="21"/>
  <c r="X35" i="21"/>
  <c r="W35" i="21"/>
  <c r="Y35" i="21"/>
  <c r="AD30" i="21"/>
  <c r="AC30" i="21"/>
  <c r="AB30" i="21"/>
  <c r="AA30" i="21"/>
  <c r="Z30" i="21"/>
  <c r="X30" i="21"/>
  <c r="W30" i="21"/>
  <c r="Y30" i="21"/>
  <c r="AD29" i="21"/>
  <c r="AC29" i="21"/>
  <c r="AB29" i="21"/>
  <c r="Z29" i="21"/>
  <c r="X29" i="21"/>
  <c r="W29" i="21"/>
  <c r="AA29" i="21"/>
  <c r="Y29" i="21"/>
  <c r="AD28" i="21"/>
  <c r="AC28" i="21"/>
  <c r="AB28" i="21"/>
  <c r="Z28" i="21"/>
  <c r="W28" i="21"/>
  <c r="X28" i="21"/>
  <c r="AD27" i="21"/>
  <c r="AC27" i="21"/>
  <c r="AB27" i="21"/>
  <c r="Z27" i="21"/>
  <c r="X27" i="21"/>
  <c r="W27" i="21"/>
  <c r="Y27" i="21"/>
  <c r="AD22" i="21"/>
  <c r="AC22" i="21"/>
  <c r="AB22" i="21"/>
  <c r="Z22" i="21"/>
  <c r="W22" i="21"/>
  <c r="AD21" i="21"/>
  <c r="AC21" i="21"/>
  <c r="AB21" i="21"/>
  <c r="Z21" i="21"/>
  <c r="X21" i="21"/>
  <c r="W21" i="21"/>
  <c r="AD20" i="21"/>
  <c r="AC20" i="21"/>
  <c r="AB20" i="21"/>
  <c r="AA20" i="21"/>
  <c r="Z20" i="21"/>
  <c r="X20" i="21"/>
  <c r="W20" i="21"/>
  <c r="Y20" i="21"/>
  <c r="AD19" i="21"/>
  <c r="AC19" i="21"/>
  <c r="AB19" i="21"/>
  <c r="Z19" i="21"/>
  <c r="W19" i="21"/>
  <c r="AD14" i="21"/>
  <c r="AC14" i="21"/>
  <c r="AB14" i="21"/>
  <c r="Z14" i="21"/>
  <c r="W14" i="21"/>
  <c r="X14" i="21"/>
  <c r="AD13" i="21"/>
  <c r="AC13" i="21"/>
  <c r="AB13" i="21"/>
  <c r="Z13" i="21"/>
  <c r="X13" i="21"/>
  <c r="AD12" i="21"/>
  <c r="AC12" i="21"/>
  <c r="AB12" i="21"/>
  <c r="AA12" i="21"/>
  <c r="Z12" i="21"/>
  <c r="X12" i="21"/>
  <c r="W12" i="21"/>
  <c r="Y12" i="21"/>
  <c r="AD11" i="21"/>
  <c r="AC11" i="21"/>
  <c r="AB11" i="21"/>
  <c r="AA11" i="21"/>
  <c r="Z11" i="21"/>
  <c r="X11" i="21"/>
  <c r="W11" i="21"/>
  <c r="Y11" i="21"/>
  <c r="AD10" i="21"/>
  <c r="AC10" i="21"/>
  <c r="AB10" i="21"/>
  <c r="X10" i="21"/>
  <c r="W10" i="21"/>
  <c r="AD6" i="21"/>
  <c r="AC6" i="21"/>
  <c r="AB6" i="21"/>
  <c r="AA6" i="21"/>
  <c r="Z6" i="21"/>
  <c r="G19" i="20"/>
  <c r="G20" i="20"/>
  <c r="G9" i="20" l="1"/>
  <c r="AE92" i="21"/>
  <c r="AF92" i="21" s="1"/>
  <c r="AE91" i="21"/>
  <c r="AF91" i="21" s="1"/>
  <c r="AB39" i="21"/>
  <c r="AE44" i="21"/>
  <c r="AF44" i="21" s="1"/>
  <c r="X39" i="21"/>
  <c r="G10" i="20"/>
  <c r="AA27" i="21"/>
  <c r="AA66" i="21"/>
  <c r="AE66" i="21" s="1"/>
  <c r="AF66" i="21" s="1"/>
  <c r="Y76" i="21"/>
  <c r="AE76" i="21" s="1"/>
  <c r="AF76" i="21" s="1"/>
  <c r="Y114" i="21"/>
  <c r="AE114" i="21" s="1"/>
  <c r="AF114" i="21" s="1"/>
  <c r="W6" i="21"/>
  <c r="G15" i="20"/>
  <c r="X31" i="21"/>
  <c r="AE29" i="21"/>
  <c r="AF29" i="21" s="1"/>
  <c r="AE35" i="21"/>
  <c r="AF35" i="21" s="1"/>
  <c r="Z39" i="21"/>
  <c r="G18" i="20"/>
  <c r="AE30" i="21"/>
  <c r="AF30" i="21" s="1"/>
  <c r="X49" i="21"/>
  <c r="AA48" i="21"/>
  <c r="AE48" i="21" s="1"/>
  <c r="AF48" i="21" s="1"/>
  <c r="X56" i="21"/>
  <c r="AE54" i="21"/>
  <c r="AF54" i="21" s="1"/>
  <c r="AA55" i="21"/>
  <c r="AE55" i="21" s="1"/>
  <c r="AF55" i="21" s="1"/>
  <c r="X23" i="21"/>
  <c r="X15" i="21"/>
  <c r="AE137" i="21"/>
  <c r="AE12" i="21"/>
  <c r="AF12" i="21" s="1"/>
  <c r="AE6" i="21"/>
  <c r="AE20" i="21"/>
  <c r="AF20" i="21" s="1"/>
  <c r="X123" i="21"/>
  <c r="AE111" i="21"/>
  <c r="AE11" i="21"/>
  <c r="AF11" i="21" s="1"/>
  <c r="X132" i="21"/>
  <c r="AE89" i="21"/>
  <c r="AF89" i="21" s="1"/>
  <c r="Y45" i="21"/>
  <c r="AE45" i="21" s="1"/>
  <c r="AF45" i="21" s="1"/>
  <c r="Y61" i="21"/>
  <c r="AE61" i="21" s="1"/>
  <c r="AF61" i="21" s="1"/>
  <c r="Y88" i="21"/>
  <c r="AE88" i="21" s="1"/>
  <c r="AF88" i="21" s="1"/>
  <c r="G12" i="20"/>
  <c r="G13" i="20"/>
  <c r="G14" i="20"/>
  <c r="G16" i="20"/>
  <c r="G17" i="20"/>
  <c r="AE27" i="21" l="1"/>
  <c r="AF132" i="21"/>
  <c r="AF39" i="21"/>
  <c r="AF56" i="21"/>
  <c r="G20" i="19"/>
  <c r="G19" i="19"/>
  <c r="P14" i="21" s="1"/>
  <c r="G18" i="19"/>
  <c r="G17" i="19"/>
  <c r="G16" i="19"/>
  <c r="G15" i="19"/>
  <c r="G14" i="19"/>
  <c r="G13" i="19"/>
  <c r="G12" i="19"/>
  <c r="P37" i="21" s="1"/>
  <c r="G11" i="19"/>
  <c r="G10" i="19"/>
  <c r="G9" i="19"/>
  <c r="P10" i="21" s="1"/>
  <c r="P62" i="21" l="1"/>
  <c r="P36" i="21"/>
  <c r="P28" i="21"/>
  <c r="N37" i="21"/>
  <c r="Y37" i="21" s="1"/>
  <c r="AE37" i="21" s="1"/>
  <c r="AA37" i="21"/>
  <c r="P122" i="21"/>
  <c r="P118" i="21"/>
  <c r="P113" i="21"/>
  <c r="P108" i="21"/>
  <c r="P104" i="21"/>
  <c r="P100" i="21"/>
  <c r="P130" i="21"/>
  <c r="P120" i="21"/>
  <c r="P110" i="21"/>
  <c r="P102" i="21"/>
  <c r="P115" i="21"/>
  <c r="P109" i="21"/>
  <c r="P101" i="21"/>
  <c r="P131" i="21"/>
  <c r="P121" i="21"/>
  <c r="P117" i="21"/>
  <c r="P112" i="21"/>
  <c r="P107" i="21"/>
  <c r="P103" i="21"/>
  <c r="P99" i="21"/>
  <c r="P116" i="21"/>
  <c r="P106" i="21"/>
  <c r="P98" i="21"/>
  <c r="P119" i="21"/>
  <c r="P105" i="21"/>
  <c r="P97" i="21"/>
  <c r="P22" i="21"/>
  <c r="AA22" i="21" s="1"/>
  <c r="P64" i="21"/>
  <c r="P63" i="21"/>
  <c r="P67" i="21"/>
  <c r="P68" i="21"/>
  <c r="P43" i="21"/>
  <c r="P60" i="21"/>
  <c r="P19" i="21"/>
  <c r="AA19" i="21" s="1"/>
  <c r="P127" i="21"/>
  <c r="P53" i="21"/>
  <c r="P129" i="21"/>
  <c r="P96" i="21"/>
  <c r="P90" i="21"/>
  <c r="P84" i="21"/>
  <c r="P80" i="21"/>
  <c r="P75" i="21"/>
  <c r="P71" i="21"/>
  <c r="P47" i="21"/>
  <c r="P86" i="21"/>
  <c r="P78" i="21"/>
  <c r="P73" i="21"/>
  <c r="P93" i="21"/>
  <c r="P81" i="21"/>
  <c r="P72" i="21"/>
  <c r="P128" i="21"/>
  <c r="P95" i="21"/>
  <c r="P87" i="21"/>
  <c r="P83" i="21"/>
  <c r="P79" i="21"/>
  <c r="P74" i="21"/>
  <c r="P70" i="21"/>
  <c r="P65" i="21"/>
  <c r="P38" i="21"/>
  <c r="P94" i="21"/>
  <c r="P82" i="21"/>
  <c r="P69" i="21"/>
  <c r="P85" i="21"/>
  <c r="P77" i="21"/>
  <c r="P46" i="21"/>
  <c r="AF123" i="21"/>
  <c r="AA10" i="21"/>
  <c r="N10" i="21"/>
  <c r="Y10" i="21" s="1"/>
  <c r="N14" i="21"/>
  <c r="Y14" i="21" s="1"/>
  <c r="AA14" i="21"/>
  <c r="N22" i="21"/>
  <c r="Y22" i="21" s="1"/>
  <c r="P21" i="21"/>
  <c r="P13" i="21"/>
  <c r="AF27" i="21"/>
  <c r="AF31" i="21" s="1"/>
  <c r="AF49" i="21"/>
  <c r="N69" i="21" l="1"/>
  <c r="Y69" i="21" s="1"/>
  <c r="AA69" i="21"/>
  <c r="N65" i="21"/>
  <c r="Y65" i="21" s="1"/>
  <c r="AA65" i="21"/>
  <c r="N83" i="21"/>
  <c r="Y83" i="21" s="1"/>
  <c r="AA83" i="21"/>
  <c r="N72" i="21"/>
  <c r="Y72" i="21" s="1"/>
  <c r="AA72" i="21"/>
  <c r="N78" i="21"/>
  <c r="Y78" i="21" s="1"/>
  <c r="AA78" i="21"/>
  <c r="N75" i="21"/>
  <c r="Y75" i="21" s="1"/>
  <c r="AA75" i="21"/>
  <c r="N96" i="21"/>
  <c r="Y96" i="21" s="1"/>
  <c r="AA96" i="21"/>
  <c r="N67" i="21"/>
  <c r="Y67" i="21" s="1"/>
  <c r="AA67" i="21"/>
  <c r="N98" i="21"/>
  <c r="Y98" i="21" s="1"/>
  <c r="AA98" i="21"/>
  <c r="AA121" i="21"/>
  <c r="N121" i="21"/>
  <c r="Y121" i="21" s="1"/>
  <c r="AE121" i="21" s="1"/>
  <c r="N130" i="21"/>
  <c r="Y130" i="21" s="1"/>
  <c r="AA130" i="21"/>
  <c r="AA113" i="21"/>
  <c r="N113" i="21"/>
  <c r="Y113" i="21" s="1"/>
  <c r="AE113" i="21" s="1"/>
  <c r="N46" i="21"/>
  <c r="Y46" i="21" s="1"/>
  <c r="AA46" i="21"/>
  <c r="N70" i="21"/>
  <c r="Y70" i="21" s="1"/>
  <c r="AA70" i="21"/>
  <c r="N81" i="21"/>
  <c r="Y81" i="21" s="1"/>
  <c r="AA81" i="21"/>
  <c r="N86" i="21"/>
  <c r="Y86" i="21" s="1"/>
  <c r="AA86" i="21"/>
  <c r="AE86" i="21" s="1"/>
  <c r="N129" i="21"/>
  <c r="Y129" i="21" s="1"/>
  <c r="AE129" i="21" s="1"/>
  <c r="AA129" i="21"/>
  <c r="N60" i="21"/>
  <c r="Y60" i="21" s="1"/>
  <c r="AA60" i="21"/>
  <c r="N63" i="21"/>
  <c r="Y63" i="21" s="1"/>
  <c r="AE63" i="21" s="1"/>
  <c r="AA63" i="21"/>
  <c r="AA97" i="21"/>
  <c r="N97" i="21"/>
  <c r="Y97" i="21" s="1"/>
  <c r="AE97" i="21" s="1"/>
  <c r="N106" i="21"/>
  <c r="Y106" i="21" s="1"/>
  <c r="AA106" i="21"/>
  <c r="N107" i="21"/>
  <c r="Y107" i="21" s="1"/>
  <c r="AA107" i="21"/>
  <c r="N131" i="21"/>
  <c r="Y131" i="21" s="1"/>
  <c r="AE131" i="21" s="1"/>
  <c r="AA131" i="21"/>
  <c r="AA100" i="21"/>
  <c r="N100" i="21"/>
  <c r="Y100" i="21" s="1"/>
  <c r="AE100" i="21" s="1"/>
  <c r="N118" i="21"/>
  <c r="Y118" i="21" s="1"/>
  <c r="AA118" i="21"/>
  <c r="N28" i="21"/>
  <c r="Y28" i="21" s="1"/>
  <c r="AA28" i="21"/>
  <c r="AE14" i="21"/>
  <c r="N19" i="21"/>
  <c r="Y19" i="21" s="1"/>
  <c r="AE19" i="21" s="1"/>
  <c r="N77" i="21"/>
  <c r="Y77" i="21" s="1"/>
  <c r="AA77" i="21"/>
  <c r="AE77" i="21" s="1"/>
  <c r="N94" i="21"/>
  <c r="Y94" i="21" s="1"/>
  <c r="AA94" i="21"/>
  <c r="N74" i="21"/>
  <c r="Y74" i="21" s="1"/>
  <c r="AA74" i="21"/>
  <c r="N95" i="21"/>
  <c r="Y95" i="21" s="1"/>
  <c r="AE95" i="21" s="1"/>
  <c r="AA95" i="21"/>
  <c r="N93" i="21"/>
  <c r="Y93" i="21" s="1"/>
  <c r="AA93" i="21"/>
  <c r="N47" i="21"/>
  <c r="Y47" i="21" s="1"/>
  <c r="AA47" i="21"/>
  <c r="N84" i="21"/>
  <c r="Y84" i="21" s="1"/>
  <c r="AA84" i="21"/>
  <c r="AA53" i="21"/>
  <c r="N53" i="21"/>
  <c r="Y53" i="21" s="1"/>
  <c r="AA43" i="21"/>
  <c r="N43" i="21"/>
  <c r="Y43" i="21" s="1"/>
  <c r="AE43" i="21" s="1"/>
  <c r="N64" i="21"/>
  <c r="Y64" i="21" s="1"/>
  <c r="AA64" i="21"/>
  <c r="N105" i="21"/>
  <c r="Y105" i="21" s="1"/>
  <c r="AA105" i="21"/>
  <c r="AA116" i="21"/>
  <c r="N116" i="21"/>
  <c r="Y116" i="21" s="1"/>
  <c r="AA112" i="21"/>
  <c r="N112" i="21"/>
  <c r="Y112" i="21" s="1"/>
  <c r="AE112" i="21" s="1"/>
  <c r="N101" i="21"/>
  <c r="Y101" i="21" s="1"/>
  <c r="AE101" i="21" s="1"/>
  <c r="AA101" i="21"/>
  <c r="AA110" i="21"/>
  <c r="N110" i="21"/>
  <c r="Y110" i="21" s="1"/>
  <c r="AA104" i="21"/>
  <c r="N104" i="21"/>
  <c r="Y104" i="21" s="1"/>
  <c r="AA122" i="21"/>
  <c r="N122" i="21"/>
  <c r="Y122" i="21" s="1"/>
  <c r="AE122" i="21" s="1"/>
  <c r="AA36" i="21"/>
  <c r="N36" i="21"/>
  <c r="Y36" i="21" s="1"/>
  <c r="AA103" i="21"/>
  <c r="N103" i="21"/>
  <c r="Y103" i="21" s="1"/>
  <c r="N115" i="21"/>
  <c r="Y115" i="21" s="1"/>
  <c r="AE115" i="21" s="1"/>
  <c r="AA115" i="21"/>
  <c r="N82" i="21"/>
  <c r="Y82" i="21" s="1"/>
  <c r="AA82" i="21"/>
  <c r="N87" i="21"/>
  <c r="Y87" i="21" s="1"/>
  <c r="AE87" i="21" s="1"/>
  <c r="AA87" i="21"/>
  <c r="N80" i="21"/>
  <c r="Y80" i="21" s="1"/>
  <c r="AA80" i="21"/>
  <c r="N102" i="21"/>
  <c r="Y102" i="21" s="1"/>
  <c r="AA102" i="21"/>
  <c r="AE10" i="21"/>
  <c r="N85" i="21"/>
  <c r="Y85" i="21" s="1"/>
  <c r="AE85" i="21" s="1"/>
  <c r="AA85" i="21"/>
  <c r="N38" i="21"/>
  <c r="Y38" i="21" s="1"/>
  <c r="AA38" i="21"/>
  <c r="N79" i="21"/>
  <c r="Y79" i="21" s="1"/>
  <c r="AA79" i="21"/>
  <c r="N128" i="21"/>
  <c r="Y128" i="21" s="1"/>
  <c r="AA128" i="21"/>
  <c r="N73" i="21"/>
  <c r="Y73" i="21" s="1"/>
  <c r="AE73" i="21" s="1"/>
  <c r="AA73" i="21"/>
  <c r="N71" i="21"/>
  <c r="Y71" i="21" s="1"/>
  <c r="AA71" i="21"/>
  <c r="N90" i="21"/>
  <c r="Y90" i="21" s="1"/>
  <c r="AE90" i="21" s="1"/>
  <c r="AA90" i="21"/>
  <c r="AA127" i="21"/>
  <c r="N127" i="21"/>
  <c r="Y127" i="21" s="1"/>
  <c r="AE127" i="21" s="1"/>
  <c r="N68" i="21"/>
  <c r="Y68" i="21" s="1"/>
  <c r="AE68" i="21" s="1"/>
  <c r="AA68" i="21"/>
  <c r="AA119" i="21"/>
  <c r="N119" i="21"/>
  <c r="Y119" i="21" s="1"/>
  <c r="AE119" i="21" s="1"/>
  <c r="AA99" i="21"/>
  <c r="N99" i="21"/>
  <c r="Y99" i="21" s="1"/>
  <c r="N117" i="21"/>
  <c r="Y117" i="21" s="1"/>
  <c r="AA117" i="21"/>
  <c r="AE117" i="21" s="1"/>
  <c r="N109" i="21"/>
  <c r="Y109" i="21" s="1"/>
  <c r="AE109" i="21" s="1"/>
  <c r="AA109" i="21"/>
  <c r="AA120" i="21"/>
  <c r="N120" i="21"/>
  <c r="Y120" i="21" s="1"/>
  <c r="AE120" i="21" s="1"/>
  <c r="AA108" i="21"/>
  <c r="N108" i="21"/>
  <c r="Y108" i="21" s="1"/>
  <c r="N62" i="21"/>
  <c r="Y62" i="21" s="1"/>
  <c r="AA62" i="21"/>
  <c r="AE22" i="21"/>
  <c r="N13" i="21"/>
  <c r="Y13" i="21" s="1"/>
  <c r="AE13" i="21" s="1"/>
  <c r="AA13" i="21"/>
  <c r="AA15" i="21" s="1"/>
  <c r="N21" i="21"/>
  <c r="Y21" i="21" s="1"/>
  <c r="AA21" i="21"/>
  <c r="AA23" i="21" s="1"/>
  <c r="AC64" i="18"/>
  <c r="AB64" i="18"/>
  <c r="AA64" i="18"/>
  <c r="Y64" i="18"/>
  <c r="V64" i="18"/>
  <c r="T64" i="18"/>
  <c r="O64" i="18"/>
  <c r="L64" i="18"/>
  <c r="W64" i="18" s="1"/>
  <c r="AC75" i="18"/>
  <c r="AB75" i="18"/>
  <c r="AA75" i="18"/>
  <c r="Y75" i="18"/>
  <c r="V75" i="18"/>
  <c r="T75" i="18"/>
  <c r="O75" i="18"/>
  <c r="Z75" i="18" s="1"/>
  <c r="L75" i="18"/>
  <c r="W75" i="18" s="1"/>
  <c r="AC74" i="18"/>
  <c r="AB74" i="18"/>
  <c r="AA74" i="18"/>
  <c r="Y74" i="18"/>
  <c r="V74" i="18"/>
  <c r="T74" i="18"/>
  <c r="O74" i="18"/>
  <c r="Z74" i="18" s="1"/>
  <c r="L74" i="18"/>
  <c r="W74" i="18" s="1"/>
  <c r="AC73" i="18"/>
  <c r="AB73" i="18"/>
  <c r="AA73" i="18"/>
  <c r="Y73" i="18"/>
  <c r="V73" i="18"/>
  <c r="T73" i="18"/>
  <c r="O73" i="18"/>
  <c r="Z73" i="18" s="1"/>
  <c r="L73" i="18"/>
  <c r="W73" i="18" s="1"/>
  <c r="AC68" i="18"/>
  <c r="AB68" i="18"/>
  <c r="AA68" i="18"/>
  <c r="Y68" i="18"/>
  <c r="V68" i="18"/>
  <c r="T68" i="18"/>
  <c r="O68" i="18"/>
  <c r="Z68" i="18" s="1"/>
  <c r="L68" i="18"/>
  <c r="W68" i="18" s="1"/>
  <c r="AC67" i="18"/>
  <c r="AB67" i="18"/>
  <c r="AA67" i="18"/>
  <c r="Y67" i="18"/>
  <c r="V67" i="18"/>
  <c r="T67" i="18"/>
  <c r="O67" i="18"/>
  <c r="Z67" i="18" s="1"/>
  <c r="L67" i="18"/>
  <c r="W67" i="18" s="1"/>
  <c r="AC66" i="18"/>
  <c r="AB66" i="18"/>
  <c r="AA66" i="18"/>
  <c r="Y66" i="18"/>
  <c r="V66" i="18"/>
  <c r="T66" i="18"/>
  <c r="O66" i="18"/>
  <c r="Z66" i="18" s="1"/>
  <c r="L66" i="18"/>
  <c r="W66" i="18" s="1"/>
  <c r="AC65" i="18"/>
  <c r="AB65" i="18"/>
  <c r="AA65" i="18"/>
  <c r="Y65" i="18"/>
  <c r="V65" i="18"/>
  <c r="T65" i="18"/>
  <c r="O65" i="18"/>
  <c r="Z65" i="18" s="1"/>
  <c r="L65" i="18"/>
  <c r="W65" i="18" s="1"/>
  <c r="AC63" i="18"/>
  <c r="AB63" i="18"/>
  <c r="AA63" i="18"/>
  <c r="Y63" i="18"/>
  <c r="V63" i="18"/>
  <c r="T63" i="18"/>
  <c r="O63" i="18"/>
  <c r="Z63" i="18" s="1"/>
  <c r="L63" i="18"/>
  <c r="W63" i="18" s="1"/>
  <c r="AC62" i="18"/>
  <c r="AB62" i="18"/>
  <c r="AA62" i="18"/>
  <c r="Y62" i="18"/>
  <c r="V62" i="18"/>
  <c r="T62" i="18"/>
  <c r="O62" i="18"/>
  <c r="Z62" i="18" s="1"/>
  <c r="L62" i="18"/>
  <c r="W62" i="18" s="1"/>
  <c r="AC61" i="18"/>
  <c r="AB61" i="18"/>
  <c r="AA61" i="18"/>
  <c r="Y61" i="18"/>
  <c r="V61" i="18"/>
  <c r="T61" i="18"/>
  <c r="O61" i="18"/>
  <c r="Z61" i="18" s="1"/>
  <c r="L61" i="18"/>
  <c r="W61" i="18" s="1"/>
  <c r="AC60" i="18"/>
  <c r="AB60" i="18"/>
  <c r="AA60" i="18"/>
  <c r="Y60" i="18"/>
  <c r="V60" i="18"/>
  <c r="T60" i="18"/>
  <c r="O60" i="18"/>
  <c r="Z60" i="18" s="1"/>
  <c r="L60" i="18"/>
  <c r="W60" i="18" s="1"/>
  <c r="AC59" i="18"/>
  <c r="AB59" i="18"/>
  <c r="AA59" i="18"/>
  <c r="Y59" i="18"/>
  <c r="V59" i="18"/>
  <c r="T59" i="18"/>
  <c r="O59" i="18"/>
  <c r="L59" i="18"/>
  <c r="W59" i="18" s="1"/>
  <c r="AC58" i="18"/>
  <c r="AB58" i="18"/>
  <c r="AA58" i="18"/>
  <c r="Y58" i="18"/>
  <c r="V58" i="18"/>
  <c r="T58" i="18"/>
  <c r="O58" i="18"/>
  <c r="Z58" i="18" s="1"/>
  <c r="L58" i="18"/>
  <c r="W58" i="18" s="1"/>
  <c r="AC57" i="18"/>
  <c r="AB57" i="18"/>
  <c r="AA57" i="18"/>
  <c r="Y57" i="18"/>
  <c r="V57" i="18"/>
  <c r="T57" i="18"/>
  <c r="O57" i="18"/>
  <c r="Z57" i="18" s="1"/>
  <c r="L57" i="18"/>
  <c r="W57" i="18" s="1"/>
  <c r="AC56" i="18"/>
  <c r="AB56" i="18"/>
  <c r="AA56" i="18"/>
  <c r="Y56" i="18"/>
  <c r="V56" i="18"/>
  <c r="T56" i="18"/>
  <c r="O56" i="18"/>
  <c r="Z56" i="18" s="1"/>
  <c r="L56" i="18"/>
  <c r="W56" i="18" s="1"/>
  <c r="AC55" i="18"/>
  <c r="AB55" i="18"/>
  <c r="AA55" i="18"/>
  <c r="Y55" i="18"/>
  <c r="V55" i="18"/>
  <c r="T55" i="18"/>
  <c r="O55" i="18"/>
  <c r="L55" i="18"/>
  <c r="W55" i="18" s="1"/>
  <c r="AC54" i="18"/>
  <c r="AB54" i="18"/>
  <c r="AA54" i="18"/>
  <c r="Y54" i="18"/>
  <c r="V54" i="18"/>
  <c r="T54" i="18"/>
  <c r="O54" i="18"/>
  <c r="Z54" i="18" s="1"/>
  <c r="L54" i="18"/>
  <c r="W54" i="18" s="1"/>
  <c r="AC53" i="18"/>
  <c r="AB53" i="18"/>
  <c r="AA53" i="18"/>
  <c r="Y53" i="18"/>
  <c r="V53" i="18"/>
  <c r="T53" i="18"/>
  <c r="O53" i="18"/>
  <c r="Z53" i="18" s="1"/>
  <c r="L53" i="18"/>
  <c r="W53" i="18" s="1"/>
  <c r="AC52" i="18"/>
  <c r="AB52" i="18"/>
  <c r="AA52" i="18"/>
  <c r="Y52" i="18"/>
  <c r="V52" i="18"/>
  <c r="T52" i="18"/>
  <c r="O52" i="18"/>
  <c r="Z52" i="18" s="1"/>
  <c r="L52" i="18"/>
  <c r="W52" i="18" s="1"/>
  <c r="AC51" i="18"/>
  <c r="AB51" i="18"/>
  <c r="AA51" i="18"/>
  <c r="Y51" i="18"/>
  <c r="V51" i="18"/>
  <c r="T51" i="18"/>
  <c r="O51" i="18"/>
  <c r="Z51" i="18" s="1"/>
  <c r="L51" i="18"/>
  <c r="W51" i="18" s="1"/>
  <c r="AC50" i="18"/>
  <c r="AB50" i="18"/>
  <c r="AA50" i="18"/>
  <c r="Y50" i="18"/>
  <c r="V50" i="18"/>
  <c r="T50" i="18"/>
  <c r="O50" i="18"/>
  <c r="Z50" i="18" s="1"/>
  <c r="L50" i="18"/>
  <c r="W50" i="18" s="1"/>
  <c r="AC49" i="18"/>
  <c r="AB49" i="18"/>
  <c r="AA49" i="18"/>
  <c r="Y49" i="18"/>
  <c r="V49" i="18"/>
  <c r="T49" i="18"/>
  <c r="O49" i="18"/>
  <c r="Z49" i="18" s="1"/>
  <c r="L49" i="18"/>
  <c r="W49" i="18" s="1"/>
  <c r="AC48" i="18"/>
  <c r="AB48" i="18"/>
  <c r="AA48" i="18"/>
  <c r="Y48" i="18"/>
  <c r="V48" i="18"/>
  <c r="T48" i="18"/>
  <c r="O48" i="18"/>
  <c r="L48" i="18"/>
  <c r="W48" i="18" s="1"/>
  <c r="AC47" i="18"/>
  <c r="AB47" i="18"/>
  <c r="AA47" i="18"/>
  <c r="Y47" i="18"/>
  <c r="V47" i="18"/>
  <c r="T47" i="18"/>
  <c r="O47" i="18"/>
  <c r="Z47" i="18" s="1"/>
  <c r="L47" i="18"/>
  <c r="W47" i="18" s="1"/>
  <c r="AC46" i="18"/>
  <c r="AB46" i="18"/>
  <c r="AA46" i="18"/>
  <c r="Y46" i="18"/>
  <c r="V46" i="18"/>
  <c r="T46" i="18"/>
  <c r="O46" i="18"/>
  <c r="Z46" i="18" s="1"/>
  <c r="L46" i="18"/>
  <c r="W46" i="18" s="1"/>
  <c r="AC45" i="18"/>
  <c r="AB45" i="18"/>
  <c r="AA45" i="18"/>
  <c r="Y45" i="18"/>
  <c r="V45" i="18"/>
  <c r="T45" i="18"/>
  <c r="O45" i="18"/>
  <c r="L45" i="18"/>
  <c r="W45" i="18" s="1"/>
  <c r="AC44" i="18"/>
  <c r="AB44" i="18"/>
  <c r="AA44" i="18"/>
  <c r="Y44" i="18"/>
  <c r="V44" i="18"/>
  <c r="T44" i="18"/>
  <c r="O44" i="18"/>
  <c r="Z44" i="18" s="1"/>
  <c r="L44" i="18"/>
  <c r="W44" i="18" s="1"/>
  <c r="AC43" i="18"/>
  <c r="AB43" i="18"/>
  <c r="AA43" i="18"/>
  <c r="Y43" i="18"/>
  <c r="V43" i="18"/>
  <c r="T43" i="18"/>
  <c r="O43" i="18"/>
  <c r="L43" i="18"/>
  <c r="W43" i="18" s="1"/>
  <c r="AC42" i="18"/>
  <c r="AB42" i="18"/>
  <c r="AA42" i="18"/>
  <c r="Y42" i="18"/>
  <c r="V42" i="18"/>
  <c r="T42" i="18"/>
  <c r="O42" i="18"/>
  <c r="Z42" i="18" s="1"/>
  <c r="L42" i="18"/>
  <c r="W42" i="18" s="1"/>
  <c r="AC41" i="18"/>
  <c r="AB41" i="18"/>
  <c r="AA41" i="18"/>
  <c r="Y41" i="18"/>
  <c r="V41" i="18"/>
  <c r="T41" i="18"/>
  <c r="O41" i="18"/>
  <c r="Z41" i="18" s="1"/>
  <c r="L41" i="18"/>
  <c r="W41" i="18" s="1"/>
  <c r="AC40" i="18"/>
  <c r="AB40" i="18"/>
  <c r="AA40" i="18"/>
  <c r="Y40" i="18"/>
  <c r="V40" i="18"/>
  <c r="T40" i="18"/>
  <c r="O40" i="18"/>
  <c r="Z40" i="18" s="1"/>
  <c r="L40" i="18"/>
  <c r="W40" i="18" s="1"/>
  <c r="AC39" i="18"/>
  <c r="AB39" i="18"/>
  <c r="AA39" i="18"/>
  <c r="Y39" i="18"/>
  <c r="V39" i="18"/>
  <c r="T39" i="18"/>
  <c r="O39" i="18"/>
  <c r="Z39" i="18" s="1"/>
  <c r="M39" i="18"/>
  <c r="X39" i="18" s="1"/>
  <c r="L39" i="18"/>
  <c r="W39" i="18" s="1"/>
  <c r="AC33" i="18"/>
  <c r="AB33" i="18"/>
  <c r="AA33" i="18"/>
  <c r="Y33" i="18"/>
  <c r="V33" i="18"/>
  <c r="T33" i="18"/>
  <c r="O33" i="18"/>
  <c r="Z33" i="18" s="1"/>
  <c r="L33" i="18"/>
  <c r="W33" i="18" s="1"/>
  <c r="AC32" i="18"/>
  <c r="AB32" i="18"/>
  <c r="AA32" i="18"/>
  <c r="Y32" i="18"/>
  <c r="V32" i="18"/>
  <c r="T32" i="18"/>
  <c r="O32" i="18"/>
  <c r="Z32" i="18" s="1"/>
  <c r="L32" i="18"/>
  <c r="W32" i="18" s="1"/>
  <c r="AC27" i="18"/>
  <c r="AB27" i="18"/>
  <c r="AA27" i="18"/>
  <c r="Y27" i="18"/>
  <c r="V27" i="18"/>
  <c r="T27" i="18"/>
  <c r="O27" i="18"/>
  <c r="Z27" i="18" s="1"/>
  <c r="L27" i="18"/>
  <c r="W27" i="18" s="1"/>
  <c r="AC26" i="18"/>
  <c r="AB26" i="18"/>
  <c r="AA26" i="18"/>
  <c r="Y26" i="18"/>
  <c r="V26" i="18"/>
  <c r="T26" i="18"/>
  <c r="O26" i="18"/>
  <c r="Z26" i="18" s="1"/>
  <c r="L26" i="18"/>
  <c r="W26" i="18" s="1"/>
  <c r="AC25" i="18"/>
  <c r="AB25" i="18"/>
  <c r="AA25" i="18"/>
  <c r="Y25" i="18"/>
  <c r="V25" i="18"/>
  <c r="T25" i="18"/>
  <c r="O25" i="18"/>
  <c r="Z25" i="18" s="1"/>
  <c r="L25" i="18"/>
  <c r="W25" i="18" s="1"/>
  <c r="AC20" i="18"/>
  <c r="AB20" i="18"/>
  <c r="AA20" i="18"/>
  <c r="Y20" i="18"/>
  <c r="V20" i="18"/>
  <c r="T20" i="18"/>
  <c r="O20" i="18"/>
  <c r="Z20" i="18" s="1"/>
  <c r="L20" i="18"/>
  <c r="W20" i="18" s="1"/>
  <c r="AC15" i="18"/>
  <c r="AB15" i="18"/>
  <c r="AA15" i="18"/>
  <c r="Y15" i="18"/>
  <c r="V15" i="18"/>
  <c r="T15" i="18"/>
  <c r="O15" i="18"/>
  <c r="Z15" i="18" s="1"/>
  <c r="L15" i="18"/>
  <c r="W15" i="18" s="1"/>
  <c r="AC14" i="18"/>
  <c r="AB14" i="18"/>
  <c r="AA14" i="18"/>
  <c r="Y14" i="18"/>
  <c r="V14" i="18"/>
  <c r="T14" i="18"/>
  <c r="O14" i="18"/>
  <c r="Z14" i="18" s="1"/>
  <c r="L14" i="18"/>
  <c r="W14" i="18" s="1"/>
  <c r="AC13" i="18"/>
  <c r="AB13" i="18"/>
  <c r="AA13" i="18"/>
  <c r="Y13" i="18"/>
  <c r="V13" i="18"/>
  <c r="T13" i="18"/>
  <c r="O13" i="18"/>
  <c r="Z13" i="18" s="1"/>
  <c r="L13" i="18"/>
  <c r="W13" i="18" s="1"/>
  <c r="AC8" i="18"/>
  <c r="AB8" i="18"/>
  <c r="AA8" i="18"/>
  <c r="Y8" i="18"/>
  <c r="V8" i="18"/>
  <c r="T8" i="18"/>
  <c r="O8" i="18"/>
  <c r="Z8" i="18" s="1"/>
  <c r="L8" i="18"/>
  <c r="W8" i="18" s="1"/>
  <c r="AA49" i="21" l="1"/>
  <c r="AE130" i="21"/>
  <c r="AE98" i="21"/>
  <c r="AE96" i="21"/>
  <c r="AE78" i="21"/>
  <c r="AE79" i="21"/>
  <c r="AE103" i="21"/>
  <c r="AE110" i="21"/>
  <c r="AE28" i="21"/>
  <c r="AE31" i="21" s="1"/>
  <c r="AA31" i="21"/>
  <c r="AE80" i="21"/>
  <c r="AE105" i="21"/>
  <c r="AE84" i="21"/>
  <c r="AE74" i="21"/>
  <c r="AE107" i="21"/>
  <c r="AE75" i="21"/>
  <c r="AE65" i="21"/>
  <c r="AE62" i="21"/>
  <c r="AE71" i="21"/>
  <c r="AE128" i="21"/>
  <c r="AE132" i="21" s="1"/>
  <c r="AE38" i="21"/>
  <c r="AE102" i="21"/>
  <c r="AE36" i="21"/>
  <c r="AE104" i="21"/>
  <c r="AE116" i="21"/>
  <c r="AE64" i="21"/>
  <c r="AE53" i="21"/>
  <c r="AE56" i="21" s="1"/>
  <c r="AE47" i="21"/>
  <c r="AE94" i="21"/>
  <c r="AE118" i="21"/>
  <c r="AE106" i="21"/>
  <c r="AE21" i="21"/>
  <c r="AE23" i="21" s="1"/>
  <c r="AE82" i="21"/>
  <c r="AE93" i="21"/>
  <c r="AE60" i="21"/>
  <c r="AE70" i="21"/>
  <c r="AE67" i="21"/>
  <c r="AE72" i="21"/>
  <c r="AE108" i="21"/>
  <c r="AE99" i="21"/>
  <c r="AA39" i="21"/>
  <c r="AE81" i="21"/>
  <c r="AE46" i="21"/>
  <c r="AE83" i="21"/>
  <c r="AE69" i="21"/>
  <c r="AF23" i="21"/>
  <c r="M64" i="18"/>
  <c r="X64" i="18" s="1"/>
  <c r="AD81" i="18"/>
  <c r="Z64" i="18"/>
  <c r="AD64" i="18" s="1"/>
  <c r="AE64" i="18" s="1"/>
  <c r="M15" i="18"/>
  <c r="X15" i="18" s="1"/>
  <c r="AD15" i="18" s="1"/>
  <c r="AE15" i="18" s="1"/>
  <c r="M68" i="18"/>
  <c r="X68" i="18" s="1"/>
  <c r="AD68" i="18" s="1"/>
  <c r="AE68" i="18" s="1"/>
  <c r="M75" i="18"/>
  <c r="X75" i="18" s="1"/>
  <c r="AD75" i="18" s="1"/>
  <c r="AE75" i="18" s="1"/>
  <c r="M14" i="18"/>
  <c r="X14" i="18" s="1"/>
  <c r="AD14" i="18" s="1"/>
  <c r="AE14" i="18" s="1"/>
  <c r="M27" i="18"/>
  <c r="X27" i="18" s="1"/>
  <c r="AD27" i="18" s="1"/>
  <c r="AE27" i="18" s="1"/>
  <c r="M32" i="18"/>
  <c r="X32" i="18" s="1"/>
  <c r="AD32" i="18" s="1"/>
  <c r="M41" i="18"/>
  <c r="X41" i="18" s="1"/>
  <c r="AD41" i="18" s="1"/>
  <c r="AE41" i="18" s="1"/>
  <c r="M42" i="18"/>
  <c r="X42" i="18" s="1"/>
  <c r="AD42" i="18" s="1"/>
  <c r="AE42" i="18" s="1"/>
  <c r="M33" i="18"/>
  <c r="X33" i="18" s="1"/>
  <c r="AD33" i="18" s="1"/>
  <c r="AE33" i="18" s="1"/>
  <c r="M63" i="18"/>
  <c r="X63" i="18" s="1"/>
  <c r="AD63" i="18" s="1"/>
  <c r="AE63" i="18" s="1"/>
  <c r="M20" i="18"/>
  <c r="X20" i="18" s="1"/>
  <c r="AD20" i="18" s="1"/>
  <c r="AE20" i="18" s="1"/>
  <c r="M66" i="18"/>
  <c r="X66" i="18" s="1"/>
  <c r="AD66" i="18" s="1"/>
  <c r="AE66" i="18" s="1"/>
  <c r="M8" i="18"/>
  <c r="X8" i="18" s="1"/>
  <c r="AD8" i="18" s="1"/>
  <c r="AE8" i="18" s="1"/>
  <c r="M47" i="18"/>
  <c r="X47" i="18" s="1"/>
  <c r="AD47" i="18" s="1"/>
  <c r="AE47" i="18" s="1"/>
  <c r="M51" i="18"/>
  <c r="X51" i="18" s="1"/>
  <c r="AD51" i="18" s="1"/>
  <c r="AE51" i="18" s="1"/>
  <c r="M54" i="18"/>
  <c r="X54" i="18" s="1"/>
  <c r="AD54" i="18" s="1"/>
  <c r="AE54" i="18" s="1"/>
  <c r="M58" i="18"/>
  <c r="X58" i="18" s="1"/>
  <c r="AD58" i="18" s="1"/>
  <c r="AE58" i="18" s="1"/>
  <c r="M62" i="18"/>
  <c r="X62" i="18" s="1"/>
  <c r="AD62" i="18" s="1"/>
  <c r="AE62" i="18" s="1"/>
  <c r="M73" i="18"/>
  <c r="X73" i="18" s="1"/>
  <c r="AD73" i="18" s="1"/>
  <c r="M13" i="18"/>
  <c r="X13" i="18" s="1"/>
  <c r="AD13" i="18" s="1"/>
  <c r="M25" i="18"/>
  <c r="X25" i="18" s="1"/>
  <c r="AD25" i="18" s="1"/>
  <c r="AE25" i="18" s="1"/>
  <c r="M44" i="18"/>
  <c r="X44" i="18" s="1"/>
  <c r="AD44" i="18" s="1"/>
  <c r="AE44" i="18" s="1"/>
  <c r="M65" i="18"/>
  <c r="X65" i="18" s="1"/>
  <c r="AD65" i="18" s="1"/>
  <c r="AE65" i="18" s="1"/>
  <c r="M52" i="18"/>
  <c r="X52" i="18" s="1"/>
  <c r="AD52" i="18" s="1"/>
  <c r="AE52" i="18" s="1"/>
  <c r="M56" i="18"/>
  <c r="X56" i="18" s="1"/>
  <c r="AD56" i="18" s="1"/>
  <c r="AE56" i="18" s="1"/>
  <c r="M60" i="18"/>
  <c r="X60" i="18" s="1"/>
  <c r="AD60" i="18" s="1"/>
  <c r="AE60" i="18" s="1"/>
  <c r="M67" i="18"/>
  <c r="X67" i="18" s="1"/>
  <c r="AD67" i="18" s="1"/>
  <c r="AE67" i="18" s="1"/>
  <c r="M40" i="18"/>
  <c r="X40" i="18" s="1"/>
  <c r="AD40" i="18" s="1"/>
  <c r="AE40" i="18" s="1"/>
  <c r="M26" i="18"/>
  <c r="X26" i="18" s="1"/>
  <c r="AD26" i="18" s="1"/>
  <c r="AE26" i="18" s="1"/>
  <c r="M49" i="18"/>
  <c r="X49" i="18" s="1"/>
  <c r="AD49" i="18" s="1"/>
  <c r="AE49" i="18" s="1"/>
  <c r="Z45" i="18"/>
  <c r="M45" i="18"/>
  <c r="X45" i="18" s="1"/>
  <c r="Z59" i="18"/>
  <c r="M59" i="18"/>
  <c r="X59" i="18" s="1"/>
  <c r="Z43" i="18"/>
  <c r="M43" i="18"/>
  <c r="X43" i="18" s="1"/>
  <c r="Z48" i="18"/>
  <c r="M48" i="18"/>
  <c r="X48" i="18" s="1"/>
  <c r="Z55" i="18"/>
  <c r="M55" i="18"/>
  <c r="X55" i="18" s="1"/>
  <c r="M46" i="18"/>
  <c r="X46" i="18" s="1"/>
  <c r="AD46" i="18" s="1"/>
  <c r="AE46" i="18" s="1"/>
  <c r="M50" i="18"/>
  <c r="X50" i="18" s="1"/>
  <c r="AD50" i="18" s="1"/>
  <c r="AE50" i="18" s="1"/>
  <c r="M53" i="18"/>
  <c r="X53" i="18" s="1"/>
  <c r="AD53" i="18" s="1"/>
  <c r="AE53" i="18" s="1"/>
  <c r="M57" i="18"/>
  <c r="X57" i="18" s="1"/>
  <c r="AD57" i="18" s="1"/>
  <c r="AE57" i="18" s="1"/>
  <c r="M61" i="18"/>
  <c r="X61" i="18" s="1"/>
  <c r="AD61" i="18" s="1"/>
  <c r="AE61" i="18" s="1"/>
  <c r="AD39" i="18"/>
  <c r="M74" i="18"/>
  <c r="X74" i="18" s="1"/>
  <c r="AD74" i="18" s="1"/>
  <c r="AE74" i="18" s="1"/>
  <c r="AE39" i="21" l="1"/>
  <c r="AE49" i="21"/>
  <c r="AE123" i="21"/>
  <c r="AF15" i="21"/>
  <c r="AE15" i="21"/>
  <c r="AD48" i="18"/>
  <c r="AE48" i="18" s="1"/>
  <c r="AD43" i="18"/>
  <c r="AE43" i="18" s="1"/>
  <c r="AD55" i="18"/>
  <c r="AE55" i="18" s="1"/>
  <c r="AD45" i="18"/>
  <c r="AE45" i="18" s="1"/>
  <c r="AE28" i="18"/>
  <c r="AD59" i="18"/>
  <c r="AE59" i="18" s="1"/>
  <c r="AE39" i="18"/>
  <c r="AD76" i="18"/>
  <c r="AE73" i="18"/>
  <c r="AE76" i="18" s="1"/>
  <c r="AE32" i="18"/>
  <c r="AD16" i="18"/>
  <c r="AE13" i="18"/>
  <c r="AE16" i="18" s="1"/>
  <c r="AE135" i="21" l="1"/>
  <c r="AE158" i="21" s="1"/>
  <c r="AE162" i="21" s="1"/>
  <c r="O135" i="21"/>
  <c r="AD28" i="18"/>
  <c r="AD34" i="18"/>
  <c r="AE69" i="18"/>
  <c r="AD69" i="18"/>
  <c r="AE34" i="18"/>
  <c r="AE21" i="18"/>
  <c r="AD21" i="18"/>
  <c r="AE9" i="18"/>
  <c r="AD9" i="18"/>
  <c r="AD79" i="18" l="1"/>
</calcChain>
</file>

<file path=xl/sharedStrings.xml><?xml version="1.0" encoding="utf-8"?>
<sst xmlns="http://schemas.openxmlformats.org/spreadsheetml/2006/main" count="1775" uniqueCount="451">
  <si>
    <t>C2</t>
  </si>
  <si>
    <t>AID-L-13</t>
  </si>
  <si>
    <t>AID-L-14</t>
  </si>
  <si>
    <t>A2</t>
  </si>
  <si>
    <t>AID-L-04</t>
  </si>
  <si>
    <t>IFD-L-04</t>
  </si>
  <si>
    <t>IFD-L-05</t>
  </si>
  <si>
    <t>C1</t>
  </si>
  <si>
    <t>GES-F-01</t>
  </si>
  <si>
    <t>AID-L-19</t>
  </si>
  <si>
    <t>AID-L-30</t>
  </si>
  <si>
    <t>A1</t>
  </si>
  <si>
    <t>AID-L-03</t>
  </si>
  <si>
    <t>AYE-L-02</t>
  </si>
  <si>
    <t>IFD-L-03</t>
  </si>
  <si>
    <t>ADG-F-03</t>
  </si>
  <si>
    <t>AID-L-08</t>
  </si>
  <si>
    <t>AYE-L-01</t>
  </si>
  <si>
    <t>AID-L-26</t>
  </si>
  <si>
    <t>AID-L-44</t>
  </si>
  <si>
    <t>AYE-L-03</t>
  </si>
  <si>
    <t>AID-L-36</t>
  </si>
  <si>
    <t>AID-L-06</t>
  </si>
  <si>
    <t>AID-L-37</t>
  </si>
  <si>
    <t>AID-L-34</t>
  </si>
  <si>
    <t>ASE-F-01</t>
  </si>
  <si>
    <t>AID-L-05</t>
  </si>
  <si>
    <t>AID-L-01</t>
  </si>
  <si>
    <t>IFD-L-01</t>
  </si>
  <si>
    <t>AID-L-12</t>
  </si>
  <si>
    <t>AID-L-35</t>
  </si>
  <si>
    <t>AID-L-29</t>
  </si>
  <si>
    <t>G</t>
  </si>
  <si>
    <t>AID-L-22</t>
  </si>
  <si>
    <t>AID-L-38</t>
  </si>
  <si>
    <t>AID-L-15</t>
  </si>
  <si>
    <t>AID-L-33</t>
  </si>
  <si>
    <t>AID-L-32</t>
  </si>
  <si>
    <t>AID-L-28</t>
  </si>
  <si>
    <t>AID-L-25</t>
  </si>
  <si>
    <t>AID-L-31</t>
  </si>
  <si>
    <t>AID-L-23</t>
  </si>
  <si>
    <t>AID-L-27</t>
  </si>
  <si>
    <t>AID-L-16</t>
  </si>
  <si>
    <t>AID-L-20</t>
  </si>
  <si>
    <t>AID-L-21</t>
  </si>
  <si>
    <t>AID-L-24</t>
  </si>
  <si>
    <t>AID-L-41</t>
  </si>
  <si>
    <t>AID-L-42</t>
  </si>
  <si>
    <t>AID-L-43</t>
  </si>
  <si>
    <t>ADG-F-02</t>
  </si>
  <si>
    <t>CPUESTO</t>
  </si>
  <si>
    <t>IDENT</t>
  </si>
  <si>
    <t>SANTANA ORTEGA MIGUEL</t>
  </si>
  <si>
    <t>SANTANA PEREZ JOSE</t>
  </si>
  <si>
    <t>MARQUEZ MARTIN JOSE LUIS</t>
  </si>
  <si>
    <t>SANTANA MEDINA FELIX</t>
  </si>
  <si>
    <t>GONZALEZ SANTANA MARIA ISABEL</t>
  </si>
  <si>
    <t>RAMIREZ RAMOS CARMEN GABRIELA</t>
  </si>
  <si>
    <t>SANCHEZ JOVER FRANCISCO</t>
  </si>
  <si>
    <t>RODRIGUEZ ARENCIBIA JUAN CARLOS</t>
  </si>
  <si>
    <t>MEDINA CABRERA BENITO MANUEL</t>
  </si>
  <si>
    <t>RODRIGUEZ PONCE JOSE MIGUEL</t>
  </si>
  <si>
    <t>RODRIGUEZ BENAVENT JOSE</t>
  </si>
  <si>
    <t>BEN MODO JUAN CARLOS</t>
  </si>
  <si>
    <t>OJEDA SANTANA ANTONIO</t>
  </si>
  <si>
    <t>GUERRA SANTANA JUAN FRANCISCO</t>
  </si>
  <si>
    <t>SANTANA SANTANA PEDRO SERGIO</t>
  </si>
  <si>
    <t>CASTELLANO SANTIAGO CECILIO</t>
  </si>
  <si>
    <t>RODRIGUEZ SANTANA MARIA ROSARIO</t>
  </si>
  <si>
    <t>RAMIREZ CORUÑA JOSE LUIS</t>
  </si>
  <si>
    <t>BETANCOR ESPINO CLAUDIO G.</t>
  </si>
  <si>
    <t>RODRIGUEZ SANTANA JOSE ANTONIO</t>
  </si>
  <si>
    <t>PEREZ OLIVEIRA MANUEL</t>
  </si>
  <si>
    <t>IZQUIERDO MEDINA CARMELO</t>
  </si>
  <si>
    <t>ORTEGA GUARDA HUMBERTO JAVIER</t>
  </si>
  <si>
    <t>BORGE PAGADOR GUILLERMO</t>
  </si>
  <si>
    <t>SANTANA SANTANA EDUARDO</t>
  </si>
  <si>
    <t>SANTANA MARRERO ANTONIO</t>
  </si>
  <si>
    <t>PEREZ DENIZ FRANCISCO J.</t>
  </si>
  <si>
    <t>MEDINA GONZALEZ DOMINGO YERAY</t>
  </si>
  <si>
    <t>RODRIGUEZ ORTEGA RICARDO</t>
  </si>
  <si>
    <t>PEÑA PEÑA SERGIO</t>
  </si>
  <si>
    <t>CABRERA CAMPOS JOSE LUIS</t>
  </si>
  <si>
    <t>GONZALEZ VEGA MARIA FATIMA</t>
  </si>
  <si>
    <t>HERNANDEZ GONZALEZ JUAN FRANCISCO</t>
  </si>
  <si>
    <t>MAYOR MORELL MARIA ISABEL</t>
  </si>
  <si>
    <t>MEDINA PEÑA MARCO ANTONIO</t>
  </si>
  <si>
    <t>MIGUEL CAMARERO SERGIO</t>
  </si>
  <si>
    <t>DOMINGUEZ FALCON LIDIA ESTHER</t>
  </si>
  <si>
    <t>APELLIDOS Y NOMBRE</t>
  </si>
  <si>
    <t>DENOMINACION</t>
  </si>
  <si>
    <t>SBASE</t>
  </si>
  <si>
    <t>ANT</t>
  </si>
  <si>
    <t>PPEE</t>
  </si>
  <si>
    <t>CD</t>
  </si>
  <si>
    <t>CE</t>
  </si>
  <si>
    <t>RES</t>
  </si>
  <si>
    <t>CPT</t>
  </si>
  <si>
    <t>CGR</t>
  </si>
  <si>
    <t>SBEXTRA</t>
  </si>
  <si>
    <t>APEXTRA</t>
  </si>
  <si>
    <t>MESES</t>
  </si>
  <si>
    <t>ASBASE</t>
  </si>
  <si>
    <t>AANT</t>
  </si>
  <si>
    <t>APPE</t>
  </si>
  <si>
    <t>ACD</t>
  </si>
  <si>
    <t>ACE</t>
  </si>
  <si>
    <t>ARES</t>
  </si>
  <si>
    <t>ACPT</t>
  </si>
  <si>
    <t>ACGR</t>
  </si>
  <si>
    <t>Oficial de Instalaciones Deportivas Coordinador</t>
  </si>
  <si>
    <t>Oficial de Instalaciones Deportivas</t>
  </si>
  <si>
    <t>Oficial de Infraestructuras Deportivas</t>
  </si>
  <si>
    <t xml:space="preserve">Jefe de Grupo </t>
  </si>
  <si>
    <t>Técnico Superior de Gestión Deportiva</t>
  </si>
  <si>
    <t>Oficial de Apoyo y Eventos</t>
  </si>
  <si>
    <t xml:space="preserve">Técnico Superior de Administración General </t>
  </si>
  <si>
    <t>Gestor de Deportes</t>
  </si>
  <si>
    <t>Técnico de Asuntos Jurídicos</t>
  </si>
  <si>
    <t>Técnico Medio de Promoción Deportiva</t>
  </si>
  <si>
    <t>Jefe de Unidad Técnica</t>
  </si>
  <si>
    <t>Encargado de Servicios Múltiples IMD</t>
  </si>
  <si>
    <t>Técnico de Asuntos Económicos</t>
  </si>
  <si>
    <t>GRUPRPT</t>
  </si>
  <si>
    <t>PROX.TRI</t>
  </si>
  <si>
    <t>A2/C1</t>
  </si>
  <si>
    <t>A1/A2</t>
  </si>
  <si>
    <t>Gerente</t>
  </si>
  <si>
    <t xml:space="preserve">VACANTE </t>
  </si>
  <si>
    <t>ADG-F-01</t>
  </si>
  <si>
    <t>ADM-F-01</t>
  </si>
  <si>
    <t>ADM-L-01</t>
  </si>
  <si>
    <t>AID-L-02</t>
  </si>
  <si>
    <t>AID-L-07</t>
  </si>
  <si>
    <t>AID-L-09</t>
  </si>
  <si>
    <t>AID-L-11</t>
  </si>
  <si>
    <t>AID-L-17</t>
  </si>
  <si>
    <t>AID-L-18</t>
  </si>
  <si>
    <t>AID-L-40</t>
  </si>
  <si>
    <t>AID-L-45</t>
  </si>
  <si>
    <t>AID-L-46</t>
  </si>
  <si>
    <t>AID-L-47</t>
  </si>
  <si>
    <t>AID-L-48</t>
  </si>
  <si>
    <t>AID-L-49</t>
  </si>
  <si>
    <t>AID-L-50</t>
  </si>
  <si>
    <t>AID-L-51</t>
  </si>
  <si>
    <t>AID-L-52</t>
  </si>
  <si>
    <t>AID-L-53</t>
  </si>
  <si>
    <t>AID-L-54</t>
  </si>
  <si>
    <t>AID-L-55</t>
  </si>
  <si>
    <t>AID-L-56</t>
  </si>
  <si>
    <t>AID-L-57</t>
  </si>
  <si>
    <t>AID-L-58</t>
  </si>
  <si>
    <t>AID-L-59</t>
  </si>
  <si>
    <t>AID-L-60</t>
  </si>
  <si>
    <t>AID-L-61</t>
  </si>
  <si>
    <t>AID-L-62</t>
  </si>
  <si>
    <t>AID-L-63</t>
  </si>
  <si>
    <t>GES-F-02</t>
  </si>
  <si>
    <t>GES-F-03</t>
  </si>
  <si>
    <t>IFD-L-02</t>
  </si>
  <si>
    <t>Jefe de Sección</t>
  </si>
  <si>
    <t>Jefe de Negociado</t>
  </si>
  <si>
    <t>Operario de Instalaciones Deportivas</t>
  </si>
  <si>
    <t>Gestor de Nóminas y Seguros Sociales</t>
  </si>
  <si>
    <t>Ingeniero Técnico</t>
  </si>
  <si>
    <t>ND</t>
  </si>
  <si>
    <t>NE</t>
  </si>
  <si>
    <t>VACANTE</t>
  </si>
  <si>
    <t>CASTELO GONZÁLEZ YOLANDA</t>
  </si>
  <si>
    <t>RODRÍGUEZ BARRERA MARÍA ELENA</t>
  </si>
  <si>
    <t>Gestor técnico de programas sectoriales</t>
  </si>
  <si>
    <t xml:space="preserve">A2 </t>
  </si>
  <si>
    <t>Gestor de sistemas de información y comunicaciones</t>
  </si>
  <si>
    <t>AEC-F-03</t>
  </si>
  <si>
    <t>Nº TRIENIOS</t>
  </si>
  <si>
    <t>Gestor de prevención de riesgos laborales</t>
  </si>
  <si>
    <t>AEC-F-04</t>
  </si>
  <si>
    <t>Gestor presupuestario y contable</t>
  </si>
  <si>
    <t>AEC-F-01</t>
  </si>
  <si>
    <t>Jefe de Unidad Técnica de Asuntos Económicos</t>
  </si>
  <si>
    <t>Jefe de Unidad Técnica de Contratación y Asuntos Técnicos Jurídicos</t>
  </si>
  <si>
    <t>C1/C2</t>
  </si>
  <si>
    <t>AEC-F-02</t>
  </si>
  <si>
    <t>ASE-F-02</t>
  </si>
  <si>
    <t>GES-L-01</t>
  </si>
  <si>
    <t>ADG-L-01</t>
  </si>
  <si>
    <t>MONZÓN PÉREZ FRANCISCO JOSÉ</t>
  </si>
  <si>
    <t>SECCIÓN DE ADMINISTRACIÓN Y GESTIÓN</t>
  </si>
  <si>
    <t>NAVARRO IDOY HERIBERTA MARÍA</t>
  </si>
  <si>
    <t>ADG-L-02</t>
  </si>
  <si>
    <t>GRUPO DE GESTIÓN Y RECURSOS HUMANOS</t>
  </si>
  <si>
    <t>ASE-L-01</t>
  </si>
  <si>
    <t>ASE-L-02</t>
  </si>
  <si>
    <t>Arquitecto Técnico</t>
  </si>
  <si>
    <t>IFD-L-06</t>
  </si>
  <si>
    <t>SEGURA GRANADO JOSÉ JUAN</t>
  </si>
  <si>
    <t>ADM-L-02</t>
  </si>
  <si>
    <t>UNIDAD TÉCNICA DE ASUNTOS ECONÓMICOS</t>
  </si>
  <si>
    <t>UNIDAD TÉCNICA DE CONTRATACIÓN Y ASUNTOS TÉCNICOS-JURÍDICOS</t>
  </si>
  <si>
    <t>NEGOCIADO DE ADMINISTRACIÓN</t>
  </si>
  <si>
    <t>UNIDAD TÉCNICA DE INFRAESTRUCTURAS DEPORTIVAS</t>
  </si>
  <si>
    <t>CASTELLANO GONZÁLEZ FRANCISCO JAVIER</t>
  </si>
  <si>
    <t>TOLEDO TALAVERA EFRÉN</t>
  </si>
  <si>
    <t>DOMÍNGUEZ SUÁREZ YERAY DOMINGO</t>
  </si>
  <si>
    <t>GONZÁLEZ PEÑA JERÓNIMO</t>
  </si>
  <si>
    <t>TRUJILLO MEDINA MARÍA DOLORES</t>
  </si>
  <si>
    <t>GRUPO DE APOYO Y EVENTOS</t>
  </si>
  <si>
    <t>AID-L-10</t>
  </si>
  <si>
    <t>MARRERO JIMÉNEZ MARIA DEL PINO (incapacidad)</t>
  </si>
  <si>
    <t>AYE-L-04</t>
  </si>
  <si>
    <t>AYE-L-05</t>
  </si>
  <si>
    <t>E</t>
  </si>
  <si>
    <t>UNIDAD TÉCNICA DE ACTIVIDADES DEPORTIVAS</t>
  </si>
  <si>
    <t>MEDINA SANTANA JULIO JOSÉ</t>
  </si>
  <si>
    <t>GARRIDO SANTANA BEATRIZ</t>
  </si>
  <si>
    <t>AID-L-39</t>
  </si>
  <si>
    <t>SALCEDO SANTANA ANTONIO AARÓN</t>
  </si>
  <si>
    <t>DOMÍNGUEZ TORRES MARCO ANTONIO</t>
  </si>
  <si>
    <t>GONZÁLEZ DOMÍNGUEZ MARTÍN</t>
  </si>
  <si>
    <t>HERRERA SOSA IVÁN CARLOS</t>
  </si>
  <si>
    <t>RUMBADO JURADO JACOBO</t>
  </si>
  <si>
    <t>RODRÍGUEZ SANTIAGO AITOR</t>
  </si>
  <si>
    <t>RAMÍREZ ALEMÁN VIRGILIO</t>
  </si>
  <si>
    <t>JIMÉNEZ CASTELLANO MIGUEL</t>
  </si>
  <si>
    <t>COSTA MORALES FRANCISCO JOSÉ</t>
  </si>
  <si>
    <t>CORRAL VILLAR SONIA</t>
  </si>
  <si>
    <t>GODOY SANTANA DELIA</t>
  </si>
  <si>
    <t>MARRERO MÉNDEZ JUAN JESÚS</t>
  </si>
  <si>
    <t>CARRASCO ORTEGA FRANCISCO JAVIER</t>
  </si>
  <si>
    <t>LÓPEZ MEDINA CAYETANO</t>
  </si>
  <si>
    <t>PERDOMO CASTELLANO DAVID JESÚS</t>
  </si>
  <si>
    <t>FERRERA CABRERA CARLOS JAVIER</t>
  </si>
  <si>
    <t>ESCALONA PÉREZ ARGEL</t>
  </si>
  <si>
    <t>CORUÑA MONZÓN JUAN FRANCISCO</t>
  </si>
  <si>
    <t>PORTILLO ASTACIO HERMINIO</t>
  </si>
  <si>
    <t>ALONSO RIJO CHEDEY ACOIDÁN</t>
  </si>
  <si>
    <t>JUAN ANTONIO HERRERA MARTÍN</t>
  </si>
  <si>
    <t>BERNADES JORGE EMILIO RAMÓN</t>
  </si>
  <si>
    <t>BENÍTEZ PÉREZ NÉSTOR</t>
  </si>
  <si>
    <t xml:space="preserve"> </t>
  </si>
  <si>
    <t>Jefe de Unidad Técnica de Infraestructuras Deportivas</t>
  </si>
  <si>
    <t>CPLAZA</t>
  </si>
  <si>
    <t>1-IMD-AG08</t>
  </si>
  <si>
    <t>2-IMD-LAB07</t>
  </si>
  <si>
    <t>2-IMD-LAB22</t>
  </si>
  <si>
    <t>1-IMD-AG07</t>
  </si>
  <si>
    <t>1-IMD-AG05</t>
  </si>
  <si>
    <t>2-IMD-LAB29</t>
  </si>
  <si>
    <t>2-IMD-LAB26</t>
  </si>
  <si>
    <t>2-IMD-LAB14</t>
  </si>
  <si>
    <t>2-IMD-LAB16</t>
  </si>
  <si>
    <t>2-IMD-LAB12</t>
  </si>
  <si>
    <t>2-IMD-LAB20</t>
  </si>
  <si>
    <t>2-IMD-LAB40</t>
  </si>
  <si>
    <t>2-IMD-LAB03</t>
  </si>
  <si>
    <t>2-IMD-LAB04</t>
  </si>
  <si>
    <t>2-IMD-LAB06</t>
  </si>
  <si>
    <t>2-IMD-LAB08</t>
  </si>
  <si>
    <t>2-IMD-LAB09</t>
  </si>
  <si>
    <t>2-IMD-LAB11</t>
  </si>
  <si>
    <t>2-IMD-LAB15</t>
  </si>
  <si>
    <t>2-IMD-LAB18</t>
  </si>
  <si>
    <t>2-IMD-LAB19</t>
  </si>
  <si>
    <t>2-IMD-LAB21</t>
  </si>
  <si>
    <t>2-IMD-LAB27</t>
  </si>
  <si>
    <t>2-IMD-LAB28</t>
  </si>
  <si>
    <t>1-IMD-AG01</t>
  </si>
  <si>
    <t>2-IMD-LAB17</t>
  </si>
  <si>
    <t>2-IMD-LAB10</t>
  </si>
  <si>
    <t>2-IMD-LAB56</t>
  </si>
  <si>
    <t>2-IMD-LAB36</t>
  </si>
  <si>
    <t>2-IMD-LAB53</t>
  </si>
  <si>
    <t>2-IMD-LAB46</t>
  </si>
  <si>
    <t>2-IMD-LAB47</t>
  </si>
  <si>
    <t>2-IMD-LAB44</t>
  </si>
  <si>
    <t>1-IMD-AE01</t>
  </si>
  <si>
    <t>2-IMD-LAB01</t>
  </si>
  <si>
    <t>2-IMD-LAB-05</t>
  </si>
  <si>
    <t>2-IMD-LAB39</t>
  </si>
  <si>
    <t>2-IMD-LAB48</t>
  </si>
  <si>
    <t>2-IMD-LAB32</t>
  </si>
  <si>
    <t>2-IMD-LAB49</t>
  </si>
  <si>
    <t>2-IMD-LAB43</t>
  </si>
  <si>
    <t>2-IMD-LAB42</t>
  </si>
  <si>
    <t>2-IMD-LAB38</t>
  </si>
  <si>
    <t>2-IMD-LAB35</t>
  </si>
  <si>
    <t>2-IMD-LAB64</t>
  </si>
  <si>
    <t>2-IMD-LAB41</t>
  </si>
  <si>
    <t>2-IMD-LAB37</t>
  </si>
  <si>
    <t>2-IMD-LAB30</t>
  </si>
  <si>
    <t>2-IMD-LAB31</t>
  </si>
  <si>
    <t>2-IMD-LAB34</t>
  </si>
  <si>
    <t>2-IMD-LAB50</t>
  </si>
  <si>
    <t>2-IMD-LAB51</t>
  </si>
  <si>
    <t>2-IMD-LAB52</t>
  </si>
  <si>
    <t>1-IMD-AE04</t>
  </si>
  <si>
    <t>4-IMD-DIR01</t>
  </si>
  <si>
    <t>2-IMD-LAB81</t>
  </si>
  <si>
    <t>2-IMD-LAB54</t>
  </si>
  <si>
    <t>2-IMD-LAB55</t>
  </si>
  <si>
    <t>2-IMD-LAB57</t>
  </si>
  <si>
    <t>2-IMD-LAB58</t>
  </si>
  <si>
    <t>2-IMD-LAB59</t>
  </si>
  <si>
    <t>2-IMD-LAB60</t>
  </si>
  <si>
    <t>2-IMD-LAB61</t>
  </si>
  <si>
    <t>2-IMD-LAB62</t>
  </si>
  <si>
    <t>2-IMD-LAB63</t>
  </si>
  <si>
    <t>2-IMD-LAB65</t>
  </si>
  <si>
    <t>2-IMD-LAB66</t>
  </si>
  <si>
    <t>2-IMD-LAB69</t>
  </si>
  <si>
    <t>2-IMD-LAB70</t>
  </si>
  <si>
    <t>2-IMD-LAB72</t>
  </si>
  <si>
    <t>2-IMD-LAB73</t>
  </si>
  <si>
    <t>2-IMD-LAB74</t>
  </si>
  <si>
    <t>2-IMD-LAB75</t>
  </si>
  <si>
    <t>2-IMD-LAB76</t>
  </si>
  <si>
    <t>2-IMD-LAB77</t>
  </si>
  <si>
    <t>2-IMD-LAB79</t>
  </si>
  <si>
    <t>2-IMD-LAB80</t>
  </si>
  <si>
    <t>1-IMD-AG04</t>
  </si>
  <si>
    <t>1-IMD-AE06</t>
  </si>
  <si>
    <t>2-IMD-LAB78</t>
  </si>
  <si>
    <t>2-IMD-LAB67</t>
  </si>
  <si>
    <t>1-IMD-AE05</t>
  </si>
  <si>
    <t>1-IMD-AG06</t>
  </si>
  <si>
    <t>1-IMD-AG03</t>
  </si>
  <si>
    <t>1-IMD-AE02</t>
  </si>
  <si>
    <t>1-IMD-AE03</t>
  </si>
  <si>
    <t>2-IMD-LAB33</t>
  </si>
  <si>
    <t>2-IMD-LAB24</t>
  </si>
  <si>
    <t>2-IMD-LAB45</t>
  </si>
  <si>
    <t>2-IMD-LAB13</t>
  </si>
  <si>
    <t>2-IMD-LAB02</t>
  </si>
  <si>
    <t>2-IMD-LAB68</t>
  </si>
  <si>
    <t>2-IMD-LAB71</t>
  </si>
  <si>
    <t>PEÑA SÁNCHEZ JOSÉ FRANCISCO</t>
  </si>
  <si>
    <t>2-IMD-LAB23</t>
  </si>
  <si>
    <t>2-IMD-LAB25</t>
  </si>
  <si>
    <t>ASISTENCIA MÉDICO FARMACÉUTICA</t>
  </si>
  <si>
    <t>AYUDAS MÉDICAS Y ESCOLARES</t>
  </si>
  <si>
    <t>PTO 2024 SIN CPT/CGR</t>
  </si>
  <si>
    <t>PPTO. 2024 SIN ANTIGÜEDAD</t>
  </si>
  <si>
    <t>VACANTE (Jubilación Agustín Marrero Morán)</t>
  </si>
  <si>
    <t>CGR 2024</t>
  </si>
  <si>
    <t>PLAN DE PENSIONES 2011-2024</t>
  </si>
  <si>
    <t>SEGURIDAD SOCIAL 2024</t>
  </si>
  <si>
    <t>TOTAL CRÉDITOS PPTO. 2024</t>
  </si>
  <si>
    <t>SENTENCIAS INCOMPATIBILIDAD</t>
  </si>
  <si>
    <t>GARCÍA PÉREZ MARGARITA (Incapacidad permanente)</t>
  </si>
  <si>
    <t>SALARIO 2024 CON INCREMENTO 2% Y CON ANTIGÜEDAD</t>
  </si>
  <si>
    <t>ESTABILIZACIÓN PERSONAL TEMPORAL (SALARIOS)</t>
  </si>
  <si>
    <t>ESTABILIZACIÓN PERSONAL TEMPORAL (SEG.SOCIAL)</t>
  </si>
  <si>
    <t>ASISTENCIA MÉDICO FARMACÉUTIRA (deuda antigua)</t>
  </si>
  <si>
    <t>SALARIO ESTABILIZACIÓN PERSONAL TEMPORAL 6 MESES</t>
  </si>
  <si>
    <t>CGR ESTABILIZACIÓN PERSONAL TEMPORAL 6  MESES</t>
  </si>
  <si>
    <t>SEGURIDAD SOCIAL ESTABILIZACIÓN PERSONAL TEMPORAL 6 MESES</t>
  </si>
  <si>
    <t>Administrativo</t>
  </si>
  <si>
    <t>Auxiliar Administrativo</t>
  </si>
  <si>
    <t>DENOMINACION PLAZA</t>
  </si>
  <si>
    <t xml:space="preserve">DENOMINACION </t>
  </si>
  <si>
    <t xml:space="preserve"> DENOMINACION PLAZA</t>
  </si>
  <si>
    <t>Técnico Grado Superior</t>
  </si>
  <si>
    <t>Técnico Grado Medio</t>
  </si>
  <si>
    <t>Animador Socio Cultural</t>
  </si>
  <si>
    <t>Oficial</t>
  </si>
  <si>
    <t xml:space="preserve">Oficial de Apoyo </t>
  </si>
  <si>
    <t>CONCEPTO</t>
  </si>
  <si>
    <t>%COTIZACION</t>
  </si>
  <si>
    <t>SUELDO</t>
  </si>
  <si>
    <t>TRIENIO</t>
  </si>
  <si>
    <t>PERSONAL DIRECTIVO Y LABORAL DE OFICINA</t>
  </si>
  <si>
    <t>MENSUAL</t>
  </si>
  <si>
    <t>PERSONAL LABORAL TEMPORAL ANTIGUOS</t>
  </si>
  <si>
    <t>P.EXTRA</t>
  </si>
  <si>
    <t>PERSONAL LABORAL TEMPORAL NUEVOS OPERARIOS</t>
  </si>
  <si>
    <t>RESIDENCIA</t>
  </si>
  <si>
    <t>PERSONAL LAB INST DEP (ENCARGADOS)</t>
  </si>
  <si>
    <t>PERSONAL LAB DE INSTALACIONES DEPORTIVAS</t>
  </si>
  <si>
    <t>COMPLEMENTO DE DESTINO</t>
  </si>
  <si>
    <t>HORAS EXTRAS</t>
  </si>
  <si>
    <t xml:space="preserve">COMPLEMENTO ESPECIFICO </t>
  </si>
  <si>
    <t>€/PUNTO</t>
  </si>
  <si>
    <t>BENITO</t>
  </si>
  <si>
    <t>NIVEL</t>
  </si>
  <si>
    <t>IMPORTE</t>
  </si>
  <si>
    <t>DIURNAS</t>
  </si>
  <si>
    <t>FEST/NOCT</t>
  </si>
  <si>
    <t>PUNTO</t>
  </si>
  <si>
    <t>SEGURA</t>
  </si>
  <si>
    <t>FUNCIONARIOS</t>
  </si>
  <si>
    <t>PPTO. 2025 SIN ANTIGÜEDAD</t>
  </si>
  <si>
    <t>PRESUPUESTO julio-dic 2024+pextra dic  CON SUBIDA SALARIAL 2% SOBRE LO COBRADO A PARTIR DE AGOSTO 2024 (ORDENADO POR UNIDADES ADMINISTRATIVAS)</t>
  </si>
  <si>
    <t>Nº</t>
  </si>
  <si>
    <t>IDTF</t>
  </si>
  <si>
    <t>EMPLEADO</t>
  </si>
  <si>
    <t>FECHA ANTIGÜEDAD</t>
  </si>
  <si>
    <t>FECHA VENCIMIENTO</t>
  </si>
  <si>
    <t>TRIENIOS</t>
  </si>
  <si>
    <t>FÉLIX SANTANA MEDINA</t>
  </si>
  <si>
    <t>JOSÉ MIGUEL RODRÍGUEZ PONCE</t>
  </si>
  <si>
    <t>HUMBERTO ORTEGA GUARDA</t>
  </si>
  <si>
    <t>YERAY DOMINGO DOMÍNGUEZ SUÁREZ</t>
  </si>
  <si>
    <t>JERÓNIMO GONZÁLEZ PEÑA</t>
  </si>
  <si>
    <t>JOSÉ FRANCISCO MONZÓN PÉREZ</t>
  </si>
  <si>
    <t>BEatriz garrido santana</t>
  </si>
  <si>
    <t>EMILIO RAMÓN BERNADES JORGE</t>
  </si>
  <si>
    <t>juan francisco guerra santana</t>
  </si>
  <si>
    <t>josé luis márquez martín</t>
  </si>
  <si>
    <t>PEDRO SERGIO SANTANA SANTANA</t>
  </si>
  <si>
    <t>marco antonio medina peña</t>
  </si>
  <si>
    <t>JOSÉ LUIS RAMÍREZ CORUÑA</t>
  </si>
  <si>
    <t>C2=1</t>
  </si>
  <si>
    <t>C1=7</t>
  </si>
  <si>
    <t>C/2</t>
  </si>
  <si>
    <t>C2=2</t>
  </si>
  <si>
    <t>A/2=6</t>
  </si>
  <si>
    <t xml:space="preserve">             E</t>
  </si>
  <si>
    <t xml:space="preserve"> E</t>
  </si>
  <si>
    <t>C2=5</t>
  </si>
  <si>
    <t>A/=3</t>
  </si>
  <si>
    <t>julio-dic +1 pextra con CPT/CGR</t>
  </si>
  <si>
    <t>TOTAL</t>
  </si>
  <si>
    <t xml:space="preserve">Técnico Medio de Promoción Deportiva </t>
  </si>
  <si>
    <t>TOTAL 2025</t>
  </si>
  <si>
    <t>Jefe de Grupo</t>
  </si>
  <si>
    <r>
      <t xml:space="preserve">SANTANA MEDINA FELIX 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(TRIENIOS 1 C2 Y 7 C1)</t>
    </r>
  </si>
  <si>
    <r>
      <t>Técnico Medio de Instalaciones Deportivas</t>
    </r>
    <r>
      <rPr>
        <sz val="11"/>
        <color rgb="FFFF0000"/>
        <rFont val="Calibri (Cuerpo)"/>
      </rPr>
      <t xml:space="preserve"> </t>
    </r>
  </si>
  <si>
    <r>
      <t xml:space="preserve">MARQUEZ MARTIN JOSE LUIS </t>
    </r>
    <r>
      <rPr>
        <b/>
        <sz val="11"/>
        <color rgb="FFFF0000"/>
        <rFont val="Calibri"/>
        <family val="2"/>
        <scheme val="minor"/>
      </rPr>
      <t>(5 C2 y 3 A2)</t>
    </r>
  </si>
  <si>
    <r>
      <t>RODRÍGUEZ BARRERA MARÍA ELENA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(4 C2 Y 5 C1)</t>
    </r>
  </si>
  <si>
    <r>
      <t xml:space="preserve">MONZÓN PÉREZ FRANCISCO JOSÉ </t>
    </r>
    <r>
      <rPr>
        <b/>
        <sz val="11"/>
        <color rgb="FFFF0000"/>
        <rFont val="Calibri"/>
        <family val="2"/>
        <scheme val="minor"/>
      </rPr>
      <t>(2 C2 y 6 A2)</t>
    </r>
  </si>
  <si>
    <t>PRESUPUESTO 2024 CON SUBIDA SALARIAL 2% (ESTABILIZACIÓN PERSONAL TEMPORAL) TABLA SALARIAL APROBADA POR RESOLUCIÓN 27/06/2024</t>
  </si>
  <si>
    <t>APLICADA TABLA SALARIAL APROBADA POR RESOLUCIÓN 27/06/2024</t>
  </si>
  <si>
    <t>GES-L-03</t>
  </si>
  <si>
    <t>AEC-L-02</t>
  </si>
  <si>
    <t>AEC-L-03</t>
  </si>
  <si>
    <t>AEC-L-04</t>
  </si>
  <si>
    <t>CGR: HOJA EXCEL : Cálculo nuevos CGR-CPT 2025 (incremento salarial 2%) fecha XX.07.24</t>
  </si>
  <si>
    <t>340/13300</t>
  </si>
  <si>
    <t>340/12001</t>
  </si>
  <si>
    <t>340/12006</t>
  </si>
  <si>
    <t>340/12100</t>
  </si>
  <si>
    <t>340/12103</t>
  </si>
  <si>
    <t>340/12101</t>
  </si>
  <si>
    <t>340/13500</t>
  </si>
  <si>
    <t>340/10100</t>
  </si>
  <si>
    <t>GES-L-04</t>
  </si>
  <si>
    <t>ASE-L-03</t>
  </si>
  <si>
    <r>
      <t>Jefe de Grupo</t>
    </r>
    <r>
      <rPr>
        <sz val="11"/>
        <color rgb="FFFF0000"/>
        <rFont val="Calibri"/>
        <family val="2"/>
        <scheme val="minor"/>
      </rPr>
      <t xml:space="preserve"> </t>
    </r>
  </si>
  <si>
    <t>RETRIBUCIONES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</si>
</sst>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2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 (Cuerpo)"/>
    </font>
    <font>
      <b/>
      <sz val="11"/>
      <color rgb="FFFF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BDD6EE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7">
    <xf numFmtId="0" fontId="0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0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271">
    <xf numFmtId="0" fontId="0" fillId="0" borderId="0" xfId="0"/>
    <xf numFmtId="0" fontId="0" fillId="0" borderId="0" xfId="0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4" fontId="1" fillId="4" borderId="1" xfId="0" applyNumberFormat="1" applyFont="1" applyFill="1" applyBorder="1" applyAlignment="1">
      <alignment horizontal="center"/>
    </xf>
    <xf numFmtId="4" fontId="0" fillId="7" borderId="1" xfId="0" applyNumberFormat="1" applyFill="1" applyBorder="1" applyProtection="1">
      <protection locked="0"/>
    </xf>
    <xf numFmtId="4" fontId="0" fillId="7" borderId="1" xfId="0" applyNumberFormat="1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 applyProtection="1">
      <protection locked="0"/>
    </xf>
    <xf numFmtId="0" fontId="1" fillId="5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14" fontId="1" fillId="5" borderId="1" xfId="0" applyNumberFormat="1" applyFont="1" applyFill="1" applyBorder="1" applyAlignment="1">
      <alignment horizontal="center"/>
    </xf>
    <xf numFmtId="4" fontId="1" fillId="5" borderId="1" xfId="0" applyNumberFormat="1" applyFont="1" applyFill="1" applyBorder="1" applyAlignment="1">
      <alignment horizontal="center"/>
    </xf>
    <xf numFmtId="14" fontId="0" fillId="7" borderId="1" xfId="0" applyNumberFormat="1" applyFill="1" applyBorder="1" applyAlignment="1">
      <alignment horizontal="center"/>
    </xf>
    <xf numFmtId="0" fontId="0" fillId="7" borderId="1" xfId="0" applyFill="1" applyBorder="1" applyAlignment="1" applyProtection="1">
      <alignment horizontal="center"/>
      <protection locked="0"/>
    </xf>
    <xf numFmtId="14" fontId="0" fillId="7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4" fontId="1" fillId="8" borderId="1" xfId="0" applyNumberFormat="1" applyFont="1" applyFill="1" applyBorder="1" applyAlignment="1">
      <alignment horizontal="center"/>
    </xf>
    <xf numFmtId="0" fontId="0" fillId="7" borderId="0" xfId="0" applyFill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4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14" fontId="1" fillId="9" borderId="1" xfId="0" applyNumberFormat="1" applyFont="1" applyFill="1" applyBorder="1" applyAlignment="1">
      <alignment horizontal="center"/>
    </xf>
    <xf numFmtId="4" fontId="1" fillId="9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4" fontId="0" fillId="6" borderId="1" xfId="0" applyNumberFormat="1" applyFill="1" applyBorder="1"/>
    <xf numFmtId="0" fontId="1" fillId="10" borderId="1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14" fontId="1" fillId="10" borderId="1" xfId="0" applyNumberFormat="1" applyFont="1" applyFill="1" applyBorder="1" applyAlignment="1">
      <alignment horizontal="center"/>
    </xf>
    <xf numFmtId="4" fontId="1" fillId="10" borderId="1" xfId="0" applyNumberFormat="1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4" fillId="11" borderId="2" xfId="0" applyFont="1" applyFill="1" applyBorder="1" applyAlignment="1">
      <alignment horizontal="center"/>
    </xf>
    <xf numFmtId="14" fontId="4" fillId="11" borderId="1" xfId="0" applyNumberFormat="1" applyFont="1" applyFill="1" applyBorder="1" applyAlignment="1">
      <alignment horizontal="center"/>
    </xf>
    <xf numFmtId="4" fontId="4" fillId="11" borderId="1" xfId="0" applyNumberFormat="1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1" fillId="12" borderId="5" xfId="0" applyFont="1" applyFill="1" applyBorder="1" applyAlignment="1">
      <alignment horizontal="center"/>
    </xf>
    <xf numFmtId="0" fontId="1" fillId="12" borderId="2" xfId="0" applyFont="1" applyFill="1" applyBorder="1" applyAlignment="1">
      <alignment horizontal="center"/>
    </xf>
    <xf numFmtId="14" fontId="1" fillId="12" borderId="1" xfId="0" applyNumberFormat="1" applyFont="1" applyFill="1" applyBorder="1" applyAlignment="1">
      <alignment horizontal="center"/>
    </xf>
    <xf numFmtId="4" fontId="1" fillId="12" borderId="1" xfId="0" applyNumberFormat="1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4" fontId="0" fillId="6" borderId="1" xfId="0" applyNumberFormat="1" applyFill="1" applyBorder="1" applyProtection="1">
      <protection locked="0"/>
    </xf>
    <xf numFmtId="0" fontId="0" fillId="6" borderId="1" xfId="0" applyFill="1" applyBorder="1"/>
    <xf numFmtId="0" fontId="4" fillId="11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/>
    <xf numFmtId="14" fontId="0" fillId="0" borderId="1" xfId="0" applyNumberFormat="1" applyBorder="1" applyAlignment="1" applyProtection="1">
      <alignment horizontal="center"/>
      <protection locked="0"/>
    </xf>
    <xf numFmtId="4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" fontId="5" fillId="0" borderId="1" xfId="0" applyNumberFormat="1" applyFont="1" applyBorder="1" applyProtection="1">
      <protection locked="0"/>
    </xf>
    <xf numFmtId="0" fontId="2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" fontId="0" fillId="0" borderId="1" xfId="0" applyNumberFormat="1" applyBorder="1" applyProtection="1">
      <protection locked="0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/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5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 applyAlignment="1" applyProtection="1">
      <alignment horizontal="center"/>
      <protection locked="0"/>
    </xf>
    <xf numFmtId="4" fontId="0" fillId="0" borderId="5" xfId="0" applyNumberFormat="1" applyBorder="1" applyProtection="1">
      <protection locked="0"/>
    </xf>
    <xf numFmtId="4" fontId="0" fillId="0" borderId="5" xfId="0" applyNumberFormat="1" applyBorder="1"/>
    <xf numFmtId="4" fontId="5" fillId="0" borderId="5" xfId="0" applyNumberFormat="1" applyFont="1" applyBorder="1" applyProtection="1">
      <protection locked="0"/>
    </xf>
    <xf numFmtId="0" fontId="0" fillId="0" borderId="4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0" fillId="0" borderId="0" xfId="0" applyNumberFormat="1"/>
    <xf numFmtId="4" fontId="0" fillId="7" borderId="4" xfId="0" applyNumberFormat="1" applyFill="1" applyBorder="1"/>
    <xf numFmtId="0" fontId="1" fillId="5" borderId="4" xfId="0" applyFont="1" applyFill="1" applyBorder="1" applyAlignment="1">
      <alignment horizontal="center" wrapText="1"/>
    </xf>
    <xf numFmtId="4" fontId="0" fillId="6" borderId="4" xfId="0" applyNumberFormat="1" applyFill="1" applyBorder="1"/>
    <xf numFmtId="4" fontId="0" fillId="0" borderId="4" xfId="0" applyNumberFormat="1" applyBorder="1"/>
    <xf numFmtId="4" fontId="2" fillId="0" borderId="5" xfId="0" applyNumberFormat="1" applyFont="1" applyBorder="1"/>
    <xf numFmtId="0" fontId="1" fillId="2" borderId="4" xfId="0" applyFont="1" applyFill="1" applyBorder="1" applyAlignment="1">
      <alignment horizontal="center" wrapText="1"/>
    </xf>
    <xf numFmtId="0" fontId="1" fillId="8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12" borderId="4" xfId="0" applyFont="1" applyFill="1" applyBorder="1" applyAlignment="1">
      <alignment horizontal="center" wrapText="1"/>
    </xf>
    <xf numFmtId="0" fontId="1" fillId="10" borderId="4" xfId="0" applyFont="1" applyFill="1" applyBorder="1" applyAlignment="1">
      <alignment horizontal="center" wrapText="1"/>
    </xf>
    <xf numFmtId="4" fontId="2" fillId="0" borderId="1" xfId="0" applyNumberFormat="1" applyFont="1" applyBorder="1"/>
    <xf numFmtId="0" fontId="2" fillId="0" borderId="1" xfId="0" applyFont="1" applyBorder="1"/>
    <xf numFmtId="0" fontId="2" fillId="7" borderId="5" xfId="0" applyFont="1" applyFill="1" applyBorder="1" applyAlignment="1">
      <alignment horizontal="center"/>
    </xf>
    <xf numFmtId="0" fontId="0" fillId="7" borderId="5" xfId="0" applyFill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2" fillId="7" borderId="5" xfId="0" applyFont="1" applyFill="1" applyBorder="1" applyAlignment="1" applyProtection="1">
      <alignment horizontal="center"/>
      <protection locked="0"/>
    </xf>
    <xf numFmtId="0" fontId="0" fillId="7" borderId="5" xfId="0" applyFill="1" applyBorder="1" applyAlignment="1">
      <alignment horizontal="center"/>
    </xf>
    <xf numFmtId="0" fontId="4" fillId="11" borderId="14" xfId="0" applyFont="1" applyFill="1" applyBorder="1" applyAlignment="1">
      <alignment horizontal="center" wrapText="1"/>
    </xf>
    <xf numFmtId="4" fontId="2" fillId="0" borderId="0" xfId="0" applyNumberFormat="1" applyFont="1"/>
    <xf numFmtId="0" fontId="7" fillId="5" borderId="14" xfId="0" applyFont="1" applyFill="1" applyBorder="1" applyAlignment="1">
      <alignment horizontal="center" wrapText="1"/>
    </xf>
    <xf numFmtId="0" fontId="7" fillId="8" borderId="14" xfId="0" applyFont="1" applyFill="1" applyBorder="1" applyAlignment="1">
      <alignment horizontal="center" wrapText="1"/>
    </xf>
    <xf numFmtId="0" fontId="7" fillId="3" borderId="14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0" fontId="7" fillId="4" borderId="14" xfId="0" applyFont="1" applyFill="1" applyBorder="1" applyAlignment="1">
      <alignment horizontal="center" wrapText="1"/>
    </xf>
    <xf numFmtId="0" fontId="7" fillId="9" borderId="14" xfId="0" applyFont="1" applyFill="1" applyBorder="1" applyAlignment="1">
      <alignment horizontal="center" wrapText="1"/>
    </xf>
    <xf numFmtId="0" fontId="7" fillId="12" borderId="14" xfId="0" applyFont="1" applyFill="1" applyBorder="1" applyAlignment="1">
      <alignment horizontal="center" wrapText="1"/>
    </xf>
    <xf numFmtId="0" fontId="2" fillId="0" borderId="1" xfId="0" applyFont="1" applyBorder="1" applyProtection="1">
      <protection locked="0"/>
    </xf>
    <xf numFmtId="0" fontId="2" fillId="6" borderId="1" xfId="0" applyFont="1" applyFill="1" applyBorder="1" applyProtection="1">
      <protection locked="0"/>
    </xf>
    <xf numFmtId="0" fontId="2" fillId="7" borderId="1" xfId="0" applyFont="1" applyFill="1" applyBorder="1" applyProtection="1">
      <protection locked="0"/>
    </xf>
    <xf numFmtId="0" fontId="0" fillId="0" borderId="1" xfId="0" applyBorder="1" applyAlignment="1">
      <alignment horizontal="center" wrapText="1"/>
    </xf>
    <xf numFmtId="0" fontId="1" fillId="10" borderId="14" xfId="0" applyFont="1" applyFill="1" applyBorder="1" applyAlignment="1">
      <alignment horizontal="center" wrapText="1"/>
    </xf>
    <xf numFmtId="4" fontId="5" fillId="0" borderId="1" xfId="0" applyNumberFormat="1" applyFont="1" applyBorder="1" applyAlignment="1" applyProtection="1">
      <alignment horizontal="right" wrapText="1"/>
      <protection locked="0"/>
    </xf>
    <xf numFmtId="4" fontId="0" fillId="0" borderId="1" xfId="0" applyNumberFormat="1" applyBorder="1" applyAlignment="1" applyProtection="1">
      <alignment horizontal="right" wrapText="1"/>
      <protection locked="0"/>
    </xf>
    <xf numFmtId="0" fontId="5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5" fillId="7" borderId="2" xfId="0" applyFont="1" applyFill="1" applyBorder="1"/>
    <xf numFmtId="0" fontId="8" fillId="6" borderId="2" xfId="0" applyFont="1" applyFill="1" applyBorder="1"/>
    <xf numFmtId="0" fontId="5" fillId="0" borderId="2" xfId="0" applyFont="1" applyBorder="1" applyProtection="1">
      <protection locked="0"/>
    </xf>
    <xf numFmtId="0" fontId="8" fillId="0" borderId="1" xfId="0" applyFont="1" applyBorder="1"/>
    <xf numFmtId="0" fontId="8" fillId="0" borderId="2" xfId="0" applyFont="1" applyBorder="1"/>
    <xf numFmtId="0" fontId="8" fillId="0" borderId="2" xfId="0" applyFont="1" applyBorder="1" applyProtection="1">
      <protection locked="0"/>
    </xf>
    <xf numFmtId="0" fontId="5" fillId="0" borderId="2" xfId="0" applyFont="1" applyBorder="1"/>
    <xf numFmtId="0" fontId="5" fillId="7" borderId="2" xfId="0" applyFont="1" applyFill="1" applyBorder="1" applyProtection="1">
      <protection locked="0"/>
    </xf>
    <xf numFmtId="0" fontId="8" fillId="0" borderId="1" xfId="0" applyFont="1" applyBorder="1" applyProtection="1">
      <protection locked="0"/>
    </xf>
    <xf numFmtId="4" fontId="5" fillId="0" borderId="1" xfId="0" applyNumberFormat="1" applyFont="1" applyBorder="1"/>
    <xf numFmtId="0" fontId="2" fillId="0" borderId="0" xfId="0" applyFont="1"/>
    <xf numFmtId="4" fontId="2" fillId="7" borderId="4" xfId="0" applyNumberFormat="1" applyFont="1" applyFill="1" applyBorder="1"/>
    <xf numFmtId="4" fontId="2" fillId="7" borderId="1" xfId="0" applyNumberFormat="1" applyFont="1" applyFill="1" applyBorder="1"/>
    <xf numFmtId="0" fontId="0" fillId="0" borderId="2" xfId="0" applyBorder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0" fontId="10" fillId="0" borderId="0" xfId="0" applyFont="1"/>
    <xf numFmtId="0" fontId="11" fillId="0" borderId="17" xfId="0" applyFont="1" applyBorder="1" applyAlignment="1">
      <alignment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10" fontId="0" fillId="0" borderId="19" xfId="2" applyNumberFormat="1" applyFont="1" applyBorder="1"/>
    <xf numFmtId="0" fontId="10" fillId="0" borderId="18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0" fontId="0" fillId="0" borderId="22" xfId="2" applyNumberFormat="1" applyFont="1" applyBorder="1"/>
    <xf numFmtId="0" fontId="14" fillId="0" borderId="0" xfId="0" applyFont="1"/>
    <xf numFmtId="44" fontId="11" fillId="0" borderId="0" xfId="1" applyFont="1" applyAlignment="1">
      <alignment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164" fontId="0" fillId="0" borderId="18" xfId="0" applyNumberFormat="1" applyBorder="1"/>
    <xf numFmtId="164" fontId="0" fillId="0" borderId="19" xfId="0" applyNumberFormat="1" applyBorder="1"/>
    <xf numFmtId="44" fontId="0" fillId="0" borderId="0" xfId="0" applyNumberFormat="1"/>
    <xf numFmtId="0" fontId="0" fillId="0" borderId="9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20" xfId="0" applyNumberFormat="1" applyBorder="1"/>
    <xf numFmtId="164" fontId="0" fillId="0" borderId="22" xfId="0" applyNumberFormat="1" applyBorder="1"/>
    <xf numFmtId="0" fontId="8" fillId="6" borderId="1" xfId="0" applyFont="1" applyFill="1" applyBorder="1"/>
    <xf numFmtId="0" fontId="16" fillId="13" borderId="25" xfId="0" applyFont="1" applyFill="1" applyBorder="1" applyAlignment="1">
      <alignment horizontal="center" vertical="center" wrapText="1"/>
    </xf>
    <xf numFmtId="0" fontId="16" fillId="13" borderId="26" xfId="0" applyFont="1" applyFill="1" applyBorder="1" applyAlignment="1">
      <alignment horizontal="center" vertical="center" wrapText="1"/>
    </xf>
    <xf numFmtId="0" fontId="16" fillId="13" borderId="27" xfId="0" applyFont="1" applyFill="1" applyBorder="1" applyAlignment="1">
      <alignment horizontal="center" vertical="center" wrapText="1"/>
    </xf>
    <xf numFmtId="0" fontId="17" fillId="14" borderId="25" xfId="0" applyFont="1" applyFill="1" applyBorder="1" applyAlignment="1">
      <alignment horizontal="center" vertical="center" wrapText="1"/>
    </xf>
    <xf numFmtId="0" fontId="17" fillId="14" borderId="2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7" fillId="14" borderId="25" xfId="0" applyFont="1" applyFill="1" applyBorder="1" applyAlignment="1">
      <alignment horizontal="justify" vertical="center" wrapText="1"/>
    </xf>
    <xf numFmtId="0" fontId="17" fillId="14" borderId="27" xfId="0" applyFont="1" applyFill="1" applyBorder="1" applyAlignment="1">
      <alignment horizontal="justify" vertical="center" wrapText="1"/>
    </xf>
    <xf numFmtId="0" fontId="0" fillId="0" borderId="27" xfId="0" applyBorder="1" applyAlignment="1">
      <alignment horizontal="justify" vertical="center" wrapText="1"/>
    </xf>
    <xf numFmtId="14" fontId="17" fillId="14" borderId="25" xfId="0" applyNumberFormat="1" applyFont="1" applyFill="1" applyBorder="1" applyAlignment="1">
      <alignment horizontal="center" vertical="center" wrapText="1"/>
    </xf>
    <xf numFmtId="14" fontId="17" fillId="14" borderId="27" xfId="0" applyNumberFormat="1" applyFont="1" applyFill="1" applyBorder="1" applyAlignment="1">
      <alignment horizontal="center" vertical="center" wrapText="1"/>
    </xf>
    <xf numFmtId="14" fontId="0" fillId="0" borderId="27" xfId="0" applyNumberFormat="1" applyBorder="1" applyAlignment="1">
      <alignment horizontal="center" vertical="center" wrapText="1"/>
    </xf>
    <xf numFmtId="0" fontId="17" fillId="4" borderId="25" xfId="0" applyFont="1" applyFill="1" applyBorder="1" applyAlignment="1">
      <alignment horizontal="center" vertical="center" wrapText="1"/>
    </xf>
    <xf numFmtId="0" fontId="17" fillId="4" borderId="26" xfId="0" applyFont="1" applyFill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  <xf numFmtId="0" fontId="5" fillId="15" borderId="2" xfId="0" applyFont="1" applyFill="1" applyBorder="1" applyProtection="1">
      <protection locked="0"/>
    </xf>
    <xf numFmtId="0" fontId="5" fillId="15" borderId="1" xfId="0" applyFont="1" applyFill="1" applyBorder="1" applyProtection="1">
      <protection locked="0"/>
    </xf>
    <xf numFmtId="0" fontId="0" fillId="15" borderId="2" xfId="0" applyFill="1" applyBorder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" fontId="0" fillId="0" borderId="0" xfId="0" applyNumberFormat="1"/>
    <xf numFmtId="1" fontId="2" fillId="0" borderId="0" xfId="0" applyNumberFormat="1" applyFont="1" applyAlignment="1">
      <alignment horizontal="center" vertical="center"/>
    </xf>
    <xf numFmtId="1" fontId="0" fillId="0" borderId="1" xfId="0" applyNumberFormat="1" applyBorder="1" applyAlignment="1" applyProtection="1">
      <alignment horizontal="center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0" fillId="7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4" borderId="0" xfId="0" applyFill="1"/>
    <xf numFmtId="0" fontId="0" fillId="9" borderId="0" xfId="0" applyFill="1"/>
    <xf numFmtId="0" fontId="0" fillId="7" borderId="0" xfId="0" applyFill="1"/>
    <xf numFmtId="0" fontId="5" fillId="7" borderId="1" xfId="0" applyFont="1" applyFill="1" applyBorder="1"/>
    <xf numFmtId="0" fontId="5" fillId="7" borderId="1" xfId="0" applyFont="1" applyFill="1" applyBorder="1" applyProtection="1">
      <protection locked="0"/>
    </xf>
    <xf numFmtId="4" fontId="0" fillId="7" borderId="0" xfId="0" applyNumberFormat="1" applyFill="1"/>
    <xf numFmtId="0" fontId="5" fillId="7" borderId="1" xfId="0" applyFont="1" applyFill="1" applyBorder="1" applyAlignment="1" applyProtection="1">
      <alignment horizontal="center"/>
      <protection locked="0"/>
    </xf>
    <xf numFmtId="4" fontId="21" fillId="16" borderId="34" xfId="4" applyNumberFormat="1" applyFont="1" applyFill="1" applyBorder="1" applyAlignment="1">
      <alignment horizontal="right" vertical="top" shrinkToFit="1"/>
    </xf>
    <xf numFmtId="2" fontId="21" fillId="16" borderId="34" xfId="4" applyNumberFormat="1" applyFont="1" applyFill="1" applyBorder="1" applyAlignment="1">
      <alignment horizontal="right" vertical="top" shrinkToFit="1"/>
    </xf>
    <xf numFmtId="2" fontId="21" fillId="16" borderId="36" xfId="4" applyNumberFormat="1" applyFont="1" applyFill="1" applyBorder="1" applyAlignment="1">
      <alignment horizontal="right" vertical="top" shrinkToFit="1"/>
    </xf>
    <xf numFmtId="2" fontId="21" fillId="16" borderId="35" xfId="4" applyNumberFormat="1" applyFont="1" applyFill="1" applyBorder="1" applyAlignment="1">
      <alignment horizontal="right" vertical="top" shrinkToFit="1"/>
    </xf>
    <xf numFmtId="0" fontId="20" fillId="16" borderId="35" xfId="4" applyFill="1" applyBorder="1" applyAlignment="1">
      <alignment horizontal="left" vertical="center" wrapText="1"/>
    </xf>
    <xf numFmtId="4" fontId="21" fillId="16" borderId="33" xfId="4" applyNumberFormat="1" applyFont="1" applyFill="1" applyBorder="1" applyAlignment="1">
      <alignment horizontal="right" vertical="top" shrinkToFit="1"/>
    </xf>
    <xf numFmtId="2" fontId="21" fillId="16" borderId="33" xfId="4" applyNumberFormat="1" applyFont="1" applyFill="1" applyBorder="1" applyAlignment="1">
      <alignment horizontal="right" vertical="top" shrinkToFit="1"/>
    </xf>
    <xf numFmtId="0" fontId="5" fillId="7" borderId="1" xfId="0" applyFont="1" applyFill="1" applyBorder="1" applyAlignment="1">
      <alignment horizontal="center"/>
    </xf>
    <xf numFmtId="4" fontId="8" fillId="7" borderId="1" xfId="0" applyNumberFormat="1" applyFont="1" applyFill="1" applyBorder="1"/>
    <xf numFmtId="3" fontId="0" fillId="7" borderId="1" xfId="0" applyNumberFormat="1" applyFill="1" applyBorder="1" applyProtection="1">
      <protection locked="0"/>
    </xf>
    <xf numFmtId="0" fontId="4" fillId="11" borderId="32" xfId="0" applyFont="1" applyFill="1" applyBorder="1" applyAlignment="1">
      <alignment horizontal="center"/>
    </xf>
    <xf numFmtId="14" fontId="4" fillId="11" borderId="32" xfId="0" applyNumberFormat="1" applyFont="1" applyFill="1" applyBorder="1" applyAlignment="1">
      <alignment horizontal="center"/>
    </xf>
    <xf numFmtId="4" fontId="2" fillId="0" borderId="3" xfId="0" applyNumberFormat="1" applyFont="1" applyBorder="1"/>
    <xf numFmtId="0" fontId="2" fillId="7" borderId="0" xfId="0" applyFont="1" applyFill="1" applyAlignment="1">
      <alignment vertical="center"/>
    </xf>
    <xf numFmtId="0" fontId="17" fillId="4" borderId="30" xfId="0" applyFont="1" applyFill="1" applyBorder="1" applyAlignment="1">
      <alignment horizontal="center" vertical="center" wrapText="1"/>
    </xf>
    <xf numFmtId="0" fontId="17" fillId="4" borderId="26" xfId="0" applyFont="1" applyFill="1" applyBorder="1" applyAlignment="1">
      <alignment horizontal="center" vertical="center" wrapText="1"/>
    </xf>
    <xf numFmtId="0" fontId="17" fillId="4" borderId="30" xfId="0" applyFont="1" applyFill="1" applyBorder="1" applyAlignment="1">
      <alignment vertical="center" wrapText="1"/>
    </xf>
    <xf numFmtId="0" fontId="17" fillId="4" borderId="26" xfId="0" applyFont="1" applyFill="1" applyBorder="1" applyAlignment="1">
      <alignment vertical="center" wrapText="1"/>
    </xf>
    <xf numFmtId="0" fontId="16" fillId="13" borderId="28" xfId="0" applyFont="1" applyFill="1" applyBorder="1" applyAlignment="1">
      <alignment horizontal="center" vertical="center" wrapText="1"/>
    </xf>
    <xf numFmtId="0" fontId="16" fillId="13" borderId="31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7" borderId="4" xfId="0" applyFill="1" applyBorder="1" applyAlignment="1" applyProtection="1">
      <alignment horizontal="center"/>
      <protection locked="0"/>
    </xf>
    <xf numFmtId="0" fontId="0" fillId="7" borderId="5" xfId="0" applyFill="1" applyBorder="1" applyAlignment="1" applyProtection="1">
      <alignment horizontal="center"/>
      <protection locked="0"/>
    </xf>
    <xf numFmtId="0" fontId="2" fillId="7" borderId="4" xfId="0" applyFont="1" applyFill="1" applyBorder="1" applyAlignment="1" applyProtection="1">
      <alignment horizontal="center"/>
      <protection locked="0"/>
    </xf>
    <xf numFmtId="0" fontId="2" fillId="7" borderId="5" xfId="0" applyFont="1" applyFill="1" applyBorder="1" applyAlignment="1" applyProtection="1">
      <alignment horizontal="center"/>
      <protection locked="0"/>
    </xf>
    <xf numFmtId="0" fontId="0" fillId="7" borderId="4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7">
    <cellStyle name="Moneda" xfId="1" builtinId="4"/>
    <cellStyle name="Moneda 2" xfId="3" xr:uid="{EA38F013-510C-4856-AD42-8FC40EA4DFAA}"/>
    <cellStyle name="Moneda 2 2" xfId="6" xr:uid="{858DE796-19C7-4ED0-B995-9D921EDF2F02}"/>
    <cellStyle name="Moneda 3" xfId="5" xr:uid="{55BE8E2D-F8DA-46C9-BE7D-0737FA6E85E1}"/>
    <cellStyle name="Normal" xfId="0" builtinId="0"/>
    <cellStyle name="Normal 2" xfId="4" xr:uid="{F347B0F6-BF46-4274-B363-B5CCEAEAF98E}"/>
    <cellStyle name="Porcentaje" xfId="2" builtinId="5"/>
  </cellStyles>
  <dxfs count="0"/>
  <tableStyles count="0" defaultTableStyle="TableStyleMedium2" defaultPivotStyle="PivotStyleLight16"/>
  <colors>
    <mruColors>
      <color rgb="FF9966FF"/>
      <color rgb="FFFFCCFF"/>
      <color rgb="FFFF66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A3E3-1902-408B-A0F4-731734E5755E}">
  <dimension ref="A1:H15"/>
  <sheetViews>
    <sheetView workbookViewId="0">
      <selection activeCell="E2" sqref="E2"/>
    </sheetView>
  </sheetViews>
  <sheetFormatPr baseColWidth="10" defaultRowHeight="15"/>
  <cols>
    <col min="3" max="3" width="39.28515625" customWidth="1"/>
    <col min="4" max="4" width="20.42578125" customWidth="1"/>
    <col min="5" max="5" width="19.28515625" customWidth="1"/>
    <col min="6" max="6" width="26.28515625" customWidth="1"/>
  </cols>
  <sheetData>
    <row r="1" spans="1:8" ht="30.75" thickBot="1">
      <c r="A1" s="180" t="s">
        <v>394</v>
      </c>
      <c r="B1" s="181" t="s">
        <v>395</v>
      </c>
      <c r="C1" s="181" t="s">
        <v>396</v>
      </c>
      <c r="D1" s="181" t="s">
        <v>397</v>
      </c>
      <c r="E1" s="181" t="s">
        <v>398</v>
      </c>
      <c r="F1" s="233" t="s">
        <v>399</v>
      </c>
      <c r="G1" s="234"/>
      <c r="H1" s="234"/>
    </row>
    <row r="2" spans="1:8" ht="15.75" thickBot="1">
      <c r="A2" s="180">
        <v>1</v>
      </c>
      <c r="B2" s="183">
        <v>43</v>
      </c>
      <c r="C2" s="186" t="s">
        <v>400</v>
      </c>
      <c r="D2" s="189">
        <v>36532</v>
      </c>
      <c r="E2" s="189">
        <v>45298</v>
      </c>
      <c r="F2" s="192" t="s">
        <v>413</v>
      </c>
      <c r="G2" s="193" t="s">
        <v>414</v>
      </c>
      <c r="H2" s="193">
        <v>8</v>
      </c>
    </row>
    <row r="3" spans="1:8" ht="15.75" thickBot="1">
      <c r="A3" s="182">
        <v>2</v>
      </c>
      <c r="B3" s="184">
        <v>57</v>
      </c>
      <c r="C3" s="187" t="s">
        <v>401</v>
      </c>
      <c r="D3" s="190">
        <v>36559</v>
      </c>
      <c r="E3" s="190">
        <v>45325</v>
      </c>
      <c r="F3" s="229" t="s">
        <v>11</v>
      </c>
      <c r="G3" s="230"/>
      <c r="H3" s="194">
        <v>8</v>
      </c>
    </row>
    <row r="4" spans="1:8" ht="15.75" thickBot="1">
      <c r="A4" s="182">
        <v>3</v>
      </c>
      <c r="B4" s="184">
        <v>129</v>
      </c>
      <c r="C4" s="187" t="s">
        <v>402</v>
      </c>
      <c r="D4" s="190">
        <v>37762</v>
      </c>
      <c r="E4" s="190">
        <v>45433</v>
      </c>
      <c r="F4" s="229" t="s">
        <v>415</v>
      </c>
      <c r="G4" s="230"/>
      <c r="H4" s="194">
        <v>7</v>
      </c>
    </row>
    <row r="5" spans="1:8" ht="15.75" thickBot="1">
      <c r="A5" s="182">
        <v>4</v>
      </c>
      <c r="B5" s="184">
        <v>174</v>
      </c>
      <c r="C5" s="187" t="s">
        <v>403</v>
      </c>
      <c r="D5" s="190">
        <v>37756</v>
      </c>
      <c r="E5" s="190">
        <v>45427</v>
      </c>
      <c r="F5" s="229" t="s">
        <v>415</v>
      </c>
      <c r="G5" s="230"/>
      <c r="H5" s="194">
        <v>7</v>
      </c>
    </row>
    <row r="6" spans="1:8" ht="15.75" thickBot="1">
      <c r="A6" s="182">
        <v>5</v>
      </c>
      <c r="B6" s="184">
        <v>175</v>
      </c>
      <c r="C6" s="187" t="s">
        <v>404</v>
      </c>
      <c r="D6" s="190">
        <v>37756</v>
      </c>
      <c r="E6" s="190">
        <v>45427</v>
      </c>
      <c r="F6" s="229" t="s">
        <v>415</v>
      </c>
      <c r="G6" s="230"/>
      <c r="H6" s="194">
        <v>7</v>
      </c>
    </row>
    <row r="7" spans="1:8" ht="15.75" thickBot="1">
      <c r="A7" s="182">
        <v>6</v>
      </c>
      <c r="B7" s="185">
        <v>67</v>
      </c>
      <c r="C7" s="188" t="s">
        <v>405</v>
      </c>
      <c r="D7" s="191">
        <v>36774</v>
      </c>
      <c r="E7" s="191">
        <v>45540</v>
      </c>
      <c r="F7" s="195" t="s">
        <v>416</v>
      </c>
      <c r="G7" s="194" t="s">
        <v>417</v>
      </c>
      <c r="H7" s="194">
        <v>8</v>
      </c>
    </row>
    <row r="8" spans="1:8" ht="15.75" thickBot="1">
      <c r="A8" s="182">
        <v>7</v>
      </c>
      <c r="B8" s="185">
        <v>233</v>
      </c>
      <c r="C8" s="188" t="s">
        <v>406</v>
      </c>
      <c r="D8" s="191">
        <v>44410</v>
      </c>
      <c r="E8" s="191">
        <v>45506</v>
      </c>
      <c r="F8" s="229" t="s">
        <v>213</v>
      </c>
      <c r="G8" s="230"/>
      <c r="H8" s="194">
        <v>1</v>
      </c>
    </row>
    <row r="9" spans="1:8" ht="15.75" thickBot="1">
      <c r="A9" s="182">
        <v>8</v>
      </c>
      <c r="B9" s="185">
        <v>263</v>
      </c>
      <c r="C9" s="188" t="s">
        <v>407</v>
      </c>
      <c r="D9" s="190">
        <v>44410</v>
      </c>
      <c r="E9" s="190">
        <v>45506</v>
      </c>
      <c r="F9" s="231" t="s">
        <v>418</v>
      </c>
      <c r="G9" s="232"/>
      <c r="H9" s="194">
        <v>1</v>
      </c>
    </row>
    <row r="10" spans="1:8" ht="15.75" thickBot="1">
      <c r="A10" s="182">
        <v>9</v>
      </c>
      <c r="B10" s="185">
        <v>264</v>
      </c>
      <c r="C10" s="188" t="s">
        <v>238</v>
      </c>
      <c r="D10" s="190">
        <v>44410</v>
      </c>
      <c r="E10" s="190">
        <v>45506</v>
      </c>
      <c r="F10" s="229" t="s">
        <v>419</v>
      </c>
      <c r="G10" s="230"/>
      <c r="H10" s="194">
        <v>1</v>
      </c>
    </row>
    <row r="11" spans="1:8" ht="15.75" thickBot="1">
      <c r="A11" s="182">
        <v>10</v>
      </c>
      <c r="B11" s="185">
        <v>65</v>
      </c>
      <c r="C11" s="188" t="s">
        <v>408</v>
      </c>
      <c r="D11" s="190">
        <v>36747</v>
      </c>
      <c r="E11" s="190">
        <v>45513</v>
      </c>
      <c r="F11" s="229" t="s">
        <v>415</v>
      </c>
      <c r="G11" s="230"/>
      <c r="H11" s="194">
        <v>8</v>
      </c>
    </row>
    <row r="12" spans="1:8" ht="15.75" thickBot="1">
      <c r="A12" s="182">
        <v>11</v>
      </c>
      <c r="B12" s="185">
        <v>32</v>
      </c>
      <c r="C12" s="188" t="s">
        <v>409</v>
      </c>
      <c r="D12" s="190">
        <v>42233</v>
      </c>
      <c r="E12" s="190">
        <v>45521</v>
      </c>
      <c r="F12" s="195" t="s">
        <v>420</v>
      </c>
      <c r="G12" s="194" t="s">
        <v>421</v>
      </c>
      <c r="H12" s="194">
        <v>8</v>
      </c>
    </row>
    <row r="13" spans="1:8" ht="15.75" thickBot="1">
      <c r="A13" s="182">
        <v>12</v>
      </c>
      <c r="B13" s="185">
        <v>66</v>
      </c>
      <c r="C13" s="188" t="s">
        <v>410</v>
      </c>
      <c r="D13" s="190">
        <v>36778</v>
      </c>
      <c r="E13" s="190">
        <v>45544</v>
      </c>
      <c r="F13" s="229" t="s">
        <v>415</v>
      </c>
      <c r="G13" s="230"/>
      <c r="H13" s="194">
        <v>8</v>
      </c>
    </row>
    <row r="14" spans="1:8" ht="15.75" thickBot="1">
      <c r="A14" s="182">
        <v>13</v>
      </c>
      <c r="B14" s="185">
        <v>200</v>
      </c>
      <c r="C14" s="188" t="s">
        <v>411</v>
      </c>
      <c r="D14" s="190">
        <v>37888</v>
      </c>
      <c r="E14" s="190">
        <v>45559</v>
      </c>
      <c r="F14" s="229" t="s">
        <v>415</v>
      </c>
      <c r="G14" s="230"/>
      <c r="H14" s="194">
        <v>7</v>
      </c>
    </row>
    <row r="15" spans="1:8" ht="15.75" thickBot="1">
      <c r="A15" s="182">
        <v>14</v>
      </c>
      <c r="B15" s="185">
        <v>93</v>
      </c>
      <c r="C15" s="188" t="s">
        <v>412</v>
      </c>
      <c r="D15" s="190">
        <v>36861</v>
      </c>
      <c r="E15" s="190">
        <v>45627</v>
      </c>
      <c r="F15" s="229" t="s">
        <v>3</v>
      </c>
      <c r="G15" s="230"/>
      <c r="H15" s="194">
        <v>8</v>
      </c>
    </row>
  </sheetData>
  <mergeCells count="12">
    <mergeCell ref="F8:G8"/>
    <mergeCell ref="F9:G9"/>
    <mergeCell ref="F1:H1"/>
    <mergeCell ref="F3:G3"/>
    <mergeCell ref="F4:G4"/>
    <mergeCell ref="F5:G5"/>
    <mergeCell ref="F6:G6"/>
    <mergeCell ref="F10:G10"/>
    <mergeCell ref="F11:G11"/>
    <mergeCell ref="F13:G13"/>
    <mergeCell ref="F14:G14"/>
    <mergeCell ref="F15:G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0E0FF-CE97-44D4-A3B3-B4171CD912FA}">
  <dimension ref="A1:R28"/>
  <sheetViews>
    <sheetView workbookViewId="0">
      <selection activeCell="E3" sqref="E3"/>
    </sheetView>
  </sheetViews>
  <sheetFormatPr baseColWidth="10" defaultRowHeight="15"/>
  <sheetData>
    <row r="1" spans="1:18">
      <c r="A1" s="151"/>
      <c r="B1" s="237" t="s">
        <v>11</v>
      </c>
      <c r="C1" s="237"/>
      <c r="D1" s="237" t="s">
        <v>3</v>
      </c>
      <c r="E1" s="237"/>
      <c r="F1" s="237" t="s">
        <v>7</v>
      </c>
      <c r="G1" s="237"/>
      <c r="H1" s="237" t="s">
        <v>0</v>
      </c>
      <c r="I1" s="237"/>
      <c r="J1" s="237" t="s">
        <v>213</v>
      </c>
      <c r="K1" s="238"/>
      <c r="L1" s="152"/>
      <c r="M1" s="152"/>
      <c r="N1" s="235" t="s">
        <v>368</v>
      </c>
      <c r="O1" s="236"/>
      <c r="P1" s="236"/>
      <c r="Q1" s="236"/>
      <c r="R1" s="153" t="s">
        <v>369</v>
      </c>
    </row>
    <row r="2" spans="1:18">
      <c r="A2" s="154"/>
      <c r="B2" s="155" t="s">
        <v>370</v>
      </c>
      <c r="C2" s="155" t="s">
        <v>371</v>
      </c>
      <c r="D2" s="155" t="s">
        <v>370</v>
      </c>
      <c r="E2" s="155" t="s">
        <v>371</v>
      </c>
      <c r="F2" s="155" t="s">
        <v>370</v>
      </c>
      <c r="G2" s="155" t="s">
        <v>371</v>
      </c>
      <c r="H2" s="155" t="s">
        <v>370</v>
      </c>
      <c r="I2" s="155" t="s">
        <v>371</v>
      </c>
      <c r="J2" s="155" t="s">
        <v>370</v>
      </c>
      <c r="K2" s="156" t="s">
        <v>371</v>
      </c>
      <c r="L2" s="152"/>
      <c r="M2" s="152"/>
      <c r="N2" s="246" t="s">
        <v>372</v>
      </c>
      <c r="O2" s="247"/>
      <c r="P2" s="247"/>
      <c r="Q2" s="247"/>
      <c r="R2" s="157">
        <v>0.31979999999999997</v>
      </c>
    </row>
    <row r="3" spans="1:18">
      <c r="A3" s="158" t="s">
        <v>373</v>
      </c>
      <c r="B3" s="159">
        <v>1326.9</v>
      </c>
      <c r="C3" s="159">
        <v>51.07</v>
      </c>
      <c r="D3" s="159">
        <v>1147.3499999999999</v>
      </c>
      <c r="E3" s="159">
        <v>41.65</v>
      </c>
      <c r="F3" s="159">
        <v>861.46</v>
      </c>
      <c r="G3" s="159">
        <v>31.53</v>
      </c>
      <c r="H3" s="159">
        <v>716.98</v>
      </c>
      <c r="I3" s="159">
        <v>21.46</v>
      </c>
      <c r="J3" s="159">
        <v>656.23</v>
      </c>
      <c r="K3" s="160">
        <v>16.16</v>
      </c>
      <c r="N3" s="246" t="s">
        <v>374</v>
      </c>
      <c r="O3" s="247"/>
      <c r="P3" s="247"/>
      <c r="Q3" s="247"/>
      <c r="R3" s="157">
        <v>0.3528</v>
      </c>
    </row>
    <row r="4" spans="1:18">
      <c r="A4" s="158" t="s">
        <v>375</v>
      </c>
      <c r="B4" s="159">
        <v>818.82</v>
      </c>
      <c r="C4" s="159">
        <v>31.53</v>
      </c>
      <c r="D4" s="159">
        <v>836.78</v>
      </c>
      <c r="E4" s="159">
        <v>30.37</v>
      </c>
      <c r="F4" s="159">
        <v>744.56</v>
      </c>
      <c r="G4" s="159">
        <v>27.21</v>
      </c>
      <c r="H4" s="159">
        <v>710.44</v>
      </c>
      <c r="I4" s="159">
        <v>21.24</v>
      </c>
      <c r="J4" s="159">
        <v>656.23</v>
      </c>
      <c r="K4" s="160">
        <v>16.16</v>
      </c>
      <c r="N4" s="246" t="s">
        <v>376</v>
      </c>
      <c r="O4" s="247"/>
      <c r="P4" s="247"/>
      <c r="Q4" s="247"/>
      <c r="R4" s="157">
        <v>0.37180000000000002</v>
      </c>
    </row>
    <row r="5" spans="1:18" ht="15.75" thickBot="1">
      <c r="A5" s="161" t="s">
        <v>377</v>
      </c>
      <c r="B5" s="162">
        <v>205.29</v>
      </c>
      <c r="C5" s="162"/>
      <c r="D5" s="162">
        <v>167.76</v>
      </c>
      <c r="E5" s="162"/>
      <c r="F5" s="162">
        <v>138.32</v>
      </c>
      <c r="G5" s="162"/>
      <c r="H5" s="162">
        <v>114.02</v>
      </c>
      <c r="I5" s="162"/>
      <c r="J5" s="162">
        <v>100.71</v>
      </c>
      <c r="K5" s="163"/>
      <c r="N5" s="246" t="s">
        <v>378</v>
      </c>
      <c r="O5" s="247"/>
      <c r="P5" s="247"/>
      <c r="Q5" s="247"/>
      <c r="R5" s="157">
        <v>0.371</v>
      </c>
    </row>
    <row r="6" spans="1:18" ht="15.75" thickBot="1">
      <c r="N6" s="244" t="s">
        <v>379</v>
      </c>
      <c r="O6" s="245"/>
      <c r="P6" s="245"/>
      <c r="Q6" s="245"/>
      <c r="R6" s="164">
        <v>0.34079999999999999</v>
      </c>
    </row>
    <row r="7" spans="1:18" ht="16.5" thickTop="1" thickBot="1">
      <c r="A7" s="239" t="s">
        <v>380</v>
      </c>
      <c r="B7" s="240"/>
      <c r="C7" s="241" t="s">
        <v>381</v>
      </c>
      <c r="D7" s="242"/>
      <c r="E7" s="165"/>
      <c r="F7" s="243" t="s">
        <v>382</v>
      </c>
      <c r="G7" s="243"/>
      <c r="H7" s="166">
        <v>24.19</v>
      </c>
      <c r="I7" s="243" t="s">
        <v>383</v>
      </c>
      <c r="J7" s="243"/>
      <c r="K7" s="165"/>
      <c r="L7" s="165"/>
      <c r="M7" s="165"/>
      <c r="N7" s="244" t="s">
        <v>384</v>
      </c>
      <c r="O7" s="245"/>
      <c r="P7" s="245"/>
      <c r="Q7" s="245"/>
      <c r="R7" s="164">
        <v>0.37180000000000002</v>
      </c>
    </row>
    <row r="8" spans="1:18" ht="15.75" thickBot="1">
      <c r="A8" s="167" t="s">
        <v>385</v>
      </c>
      <c r="B8" s="168" t="s">
        <v>386</v>
      </c>
      <c r="C8" s="169" t="s">
        <v>387</v>
      </c>
      <c r="D8" s="170" t="s">
        <v>388</v>
      </c>
      <c r="F8" s="168" t="s">
        <v>389</v>
      </c>
      <c r="G8" s="168" t="s">
        <v>386</v>
      </c>
      <c r="N8" s="244" t="s">
        <v>390</v>
      </c>
      <c r="O8" s="245"/>
      <c r="P8" s="245"/>
      <c r="Q8" s="245"/>
      <c r="R8" s="164">
        <v>0.37180000000000002</v>
      </c>
    </row>
    <row r="9" spans="1:18" ht="15.75" thickBot="1">
      <c r="A9" s="171">
        <v>30</v>
      </c>
      <c r="B9" s="159">
        <v>1159.06</v>
      </c>
      <c r="C9" s="172">
        <v>40.56</v>
      </c>
      <c r="D9" s="173">
        <v>46.37</v>
      </c>
      <c r="F9">
        <v>77</v>
      </c>
      <c r="G9" s="174">
        <f>F9*$H$7</f>
        <v>1862.63</v>
      </c>
      <c r="H9" s="174"/>
      <c r="N9" s="244" t="s">
        <v>391</v>
      </c>
      <c r="O9" s="245"/>
      <c r="P9" s="245"/>
      <c r="Q9" s="245"/>
      <c r="R9" s="164">
        <v>0.26280000000000003</v>
      </c>
    </row>
    <row r="10" spans="1:18">
      <c r="A10" s="171">
        <v>29</v>
      </c>
      <c r="B10" s="159">
        <v>1039.6099999999999</v>
      </c>
      <c r="C10" s="172">
        <v>39.32</v>
      </c>
      <c r="D10" s="173">
        <v>44.95</v>
      </c>
      <c r="F10">
        <v>75</v>
      </c>
      <c r="G10" s="174">
        <f t="shared" ref="G10:G20" si="0">F10*$H$7</f>
        <v>1814.25</v>
      </c>
    </row>
    <row r="11" spans="1:18">
      <c r="A11" s="171">
        <v>28</v>
      </c>
      <c r="B11" s="159">
        <v>995.93</v>
      </c>
      <c r="C11" s="172">
        <v>38.1</v>
      </c>
      <c r="D11" s="173">
        <v>43.55</v>
      </c>
      <c r="F11">
        <v>63</v>
      </c>
      <c r="G11" s="174">
        <f t="shared" si="0"/>
        <v>1523.97</v>
      </c>
    </row>
    <row r="12" spans="1:18">
      <c r="A12" s="171">
        <v>27</v>
      </c>
      <c r="B12" s="159">
        <v>952.17</v>
      </c>
      <c r="C12" s="172">
        <v>36.85</v>
      </c>
      <c r="D12" s="173">
        <v>42.14</v>
      </c>
      <c r="F12">
        <v>57</v>
      </c>
      <c r="G12" s="174">
        <f t="shared" si="0"/>
        <v>1378.8300000000002</v>
      </c>
    </row>
    <row r="13" spans="1:18">
      <c r="A13" s="171">
        <v>26</v>
      </c>
      <c r="B13" s="159">
        <v>835.38</v>
      </c>
      <c r="C13" s="172">
        <v>35.630000000000003</v>
      </c>
      <c r="D13" s="173">
        <v>40.72</v>
      </c>
      <c r="F13">
        <v>54</v>
      </c>
      <c r="G13" s="174">
        <f t="shared" si="0"/>
        <v>1306.26</v>
      </c>
    </row>
    <row r="14" spans="1:18">
      <c r="A14" s="171">
        <v>25</v>
      </c>
      <c r="B14" s="159">
        <v>741.15</v>
      </c>
      <c r="C14" s="172">
        <v>34.43</v>
      </c>
      <c r="D14" s="173">
        <v>39.32</v>
      </c>
      <c r="F14">
        <v>52</v>
      </c>
      <c r="G14" s="174">
        <f t="shared" si="0"/>
        <v>1257.8800000000001</v>
      </c>
    </row>
    <row r="15" spans="1:18">
      <c r="A15" s="171">
        <v>24</v>
      </c>
      <c r="B15" s="159">
        <v>697.46</v>
      </c>
      <c r="C15" s="172">
        <v>33.21</v>
      </c>
      <c r="D15" s="173">
        <v>37.950000000000003</v>
      </c>
      <c r="F15">
        <v>51</v>
      </c>
      <c r="G15" s="174">
        <f t="shared" si="0"/>
        <v>1233.69</v>
      </c>
    </row>
    <row r="16" spans="1:18">
      <c r="A16" s="171">
        <v>23</v>
      </c>
      <c r="B16" s="159">
        <v>653.76</v>
      </c>
      <c r="C16" s="172">
        <v>31.96</v>
      </c>
      <c r="D16" s="173">
        <v>36.520000000000003</v>
      </c>
      <c r="F16">
        <v>45</v>
      </c>
      <c r="G16" s="174">
        <f t="shared" si="0"/>
        <v>1088.55</v>
      </c>
    </row>
    <row r="17" spans="1:7">
      <c r="A17" s="171">
        <v>22</v>
      </c>
      <c r="B17" s="159">
        <v>610</v>
      </c>
      <c r="C17" s="172">
        <v>30.73</v>
      </c>
      <c r="D17" s="173">
        <v>35.11</v>
      </c>
      <c r="F17">
        <v>38</v>
      </c>
      <c r="G17" s="174">
        <f t="shared" si="0"/>
        <v>919.22</v>
      </c>
    </row>
    <row r="18" spans="1:7">
      <c r="A18" s="171">
        <v>21</v>
      </c>
      <c r="B18" s="159">
        <v>566.36</v>
      </c>
      <c r="C18" s="172">
        <v>29.53</v>
      </c>
      <c r="D18" s="173">
        <v>33.729999999999997</v>
      </c>
      <c r="F18">
        <v>37</v>
      </c>
      <c r="G18" s="174">
        <f t="shared" si="0"/>
        <v>895.03000000000009</v>
      </c>
    </row>
    <row r="19" spans="1:7">
      <c r="A19" s="171">
        <v>20</v>
      </c>
      <c r="B19" s="159">
        <v>526.09</v>
      </c>
      <c r="C19" s="172">
        <v>28.32</v>
      </c>
      <c r="D19" s="173">
        <v>32.32</v>
      </c>
      <c r="F19">
        <v>36</v>
      </c>
      <c r="G19" s="174">
        <f t="shared" si="0"/>
        <v>870.84</v>
      </c>
    </row>
    <row r="20" spans="1:7">
      <c r="A20" s="171">
        <v>19</v>
      </c>
      <c r="B20" s="159">
        <v>499.24</v>
      </c>
      <c r="C20" s="172">
        <v>27.07</v>
      </c>
      <c r="D20" s="173">
        <v>30.91</v>
      </c>
      <c r="F20">
        <v>34</v>
      </c>
      <c r="G20" s="174">
        <f t="shared" si="0"/>
        <v>822.46</v>
      </c>
    </row>
    <row r="21" spans="1:7">
      <c r="A21" s="171">
        <v>18</v>
      </c>
      <c r="B21" s="159">
        <v>472.37</v>
      </c>
      <c r="C21" s="172">
        <v>25.85</v>
      </c>
      <c r="D21" s="173">
        <v>29.53</v>
      </c>
    </row>
    <row r="22" spans="1:7">
      <c r="A22" s="171">
        <v>17</v>
      </c>
      <c r="B22" s="159">
        <v>445.5</v>
      </c>
      <c r="C22" s="172">
        <v>24.62</v>
      </c>
      <c r="D22" s="173">
        <v>28.1</v>
      </c>
    </row>
    <row r="23" spans="1:7">
      <c r="A23" s="171">
        <v>16</v>
      </c>
      <c r="B23" s="159">
        <v>418.69</v>
      </c>
      <c r="C23" s="172">
        <v>23.36</v>
      </c>
      <c r="D23" s="173">
        <v>26.72</v>
      </c>
    </row>
    <row r="24" spans="1:7">
      <c r="A24" s="171">
        <v>15</v>
      </c>
      <c r="B24" s="159">
        <v>391.78</v>
      </c>
      <c r="C24" s="172">
        <v>22.14</v>
      </c>
      <c r="D24" s="173">
        <v>25.31</v>
      </c>
    </row>
    <row r="25" spans="1:7">
      <c r="A25" s="171">
        <v>14</v>
      </c>
      <c r="B25" s="159">
        <v>364.97</v>
      </c>
      <c r="C25" s="172">
        <v>20.92</v>
      </c>
      <c r="D25" s="173">
        <v>23.91</v>
      </c>
    </row>
    <row r="26" spans="1:7">
      <c r="A26" s="171">
        <v>13</v>
      </c>
      <c r="B26" s="159">
        <v>338.07</v>
      </c>
      <c r="C26" s="172">
        <v>19.71</v>
      </c>
      <c r="D26" s="173">
        <v>22.49</v>
      </c>
    </row>
    <row r="27" spans="1:7" ht="15.75" thickBot="1">
      <c r="A27" s="175">
        <v>12</v>
      </c>
      <c r="B27" s="176">
        <v>311.19</v>
      </c>
      <c r="C27" s="177">
        <v>18.440000000000001</v>
      </c>
      <c r="D27" s="178">
        <v>21.11</v>
      </c>
    </row>
    <row r="28" spans="1:7" ht="15.75" thickTop="1"/>
  </sheetData>
  <mergeCells count="18">
    <mergeCell ref="N8:Q8"/>
    <mergeCell ref="N9:Q9"/>
    <mergeCell ref="N2:Q2"/>
    <mergeCell ref="N3:Q3"/>
    <mergeCell ref="N4:Q4"/>
    <mergeCell ref="N5:Q5"/>
    <mergeCell ref="N6:Q6"/>
    <mergeCell ref="A7:B7"/>
    <mergeCell ref="C7:D7"/>
    <mergeCell ref="F7:G7"/>
    <mergeCell ref="I7:J7"/>
    <mergeCell ref="N7:Q7"/>
    <mergeCell ref="N1:Q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63FFC-CF0C-4DFE-A0A2-3A6A662EAE0F}">
  <dimension ref="A1:AK164"/>
  <sheetViews>
    <sheetView topLeftCell="B1" zoomScale="80" zoomScaleNormal="80" workbookViewId="0">
      <selection activeCell="H42" sqref="H42"/>
    </sheetView>
  </sheetViews>
  <sheetFormatPr baseColWidth="10" defaultRowHeight="15"/>
  <cols>
    <col min="1" max="1" width="0" hidden="1" customWidth="1"/>
    <col min="2" max="2" width="12.7109375" customWidth="1"/>
    <col min="4" max="4" width="59.42578125" bestFit="1" customWidth="1"/>
    <col min="5" max="5" width="62.140625" customWidth="1"/>
    <col min="8" max="8" width="13.7109375" bestFit="1" customWidth="1"/>
    <col min="9" max="9" width="10.42578125" customWidth="1"/>
    <col min="14" max="14" width="14" customWidth="1"/>
    <col min="15" max="15" width="16.7109375" bestFit="1" customWidth="1"/>
    <col min="30" max="30" width="13.85546875" customWidth="1"/>
    <col min="31" max="32" width="19.28515625" customWidth="1"/>
    <col min="35" max="36" width="11.7109375" bestFit="1" customWidth="1"/>
  </cols>
  <sheetData>
    <row r="1" spans="1:37">
      <c r="H1" s="1"/>
      <c r="M1" s="1"/>
    </row>
    <row r="2" spans="1:37" ht="15.75" customHeight="1">
      <c r="F2" s="252" t="s">
        <v>393</v>
      </c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3"/>
      <c r="R2" s="208" t="s">
        <v>438</v>
      </c>
    </row>
    <row r="3" spans="1:37" ht="15.75" customHeight="1"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3"/>
    </row>
    <row r="4" spans="1:37">
      <c r="H4" s="1"/>
      <c r="M4" s="1"/>
    </row>
    <row r="5" spans="1:37" ht="26.25">
      <c r="A5" s="56" t="s">
        <v>52</v>
      </c>
      <c r="B5" s="56" t="s">
        <v>243</v>
      </c>
      <c r="C5" s="56" t="s">
        <v>51</v>
      </c>
      <c r="D5" s="57" t="s">
        <v>90</v>
      </c>
      <c r="E5" s="56" t="s">
        <v>361</v>
      </c>
      <c r="F5" s="58" t="s">
        <v>124</v>
      </c>
      <c r="G5" s="58" t="s">
        <v>176</v>
      </c>
      <c r="H5" s="58" t="s">
        <v>125</v>
      </c>
      <c r="I5" s="56" t="s">
        <v>32</v>
      </c>
      <c r="J5" s="56" t="s">
        <v>167</v>
      </c>
      <c r="K5" s="56" t="s">
        <v>168</v>
      </c>
      <c r="L5" s="59" t="s">
        <v>92</v>
      </c>
      <c r="M5" s="59" t="s">
        <v>93</v>
      </c>
      <c r="N5" s="59" t="s">
        <v>94</v>
      </c>
      <c r="O5" s="59" t="s">
        <v>95</v>
      </c>
      <c r="P5" s="59" t="s">
        <v>96</v>
      </c>
      <c r="Q5" s="59" t="s">
        <v>97</v>
      </c>
      <c r="R5" s="59" t="s">
        <v>98</v>
      </c>
      <c r="S5" s="59" t="s">
        <v>99</v>
      </c>
      <c r="T5" s="59" t="s">
        <v>100</v>
      </c>
      <c r="U5" s="59" t="s">
        <v>101</v>
      </c>
      <c r="V5" s="56" t="s">
        <v>102</v>
      </c>
      <c r="W5" s="59" t="s">
        <v>103</v>
      </c>
      <c r="X5" s="59" t="s">
        <v>104</v>
      </c>
      <c r="Y5" s="59" t="s">
        <v>105</v>
      </c>
      <c r="Z5" s="59" t="s">
        <v>106</v>
      </c>
      <c r="AA5" s="59" t="s">
        <v>107</v>
      </c>
      <c r="AB5" s="59" t="s">
        <v>108</v>
      </c>
      <c r="AC5" s="59" t="s">
        <v>109</v>
      </c>
      <c r="AD5" s="59" t="s">
        <v>110</v>
      </c>
      <c r="AE5" s="69" t="s">
        <v>422</v>
      </c>
      <c r="AF5" s="119" t="s">
        <v>392</v>
      </c>
    </row>
    <row r="6" spans="1:37">
      <c r="A6" s="30">
        <v>230</v>
      </c>
      <c r="B6" s="30" t="s">
        <v>298</v>
      </c>
      <c r="C6" s="7"/>
      <c r="D6" s="130" t="s">
        <v>169</v>
      </c>
      <c r="E6" s="6" t="s">
        <v>128</v>
      </c>
      <c r="F6" s="6"/>
      <c r="G6" s="7">
        <v>1</v>
      </c>
      <c r="H6" s="17">
        <v>46098</v>
      </c>
      <c r="I6" s="16" t="s">
        <v>11</v>
      </c>
      <c r="J6" s="6"/>
      <c r="K6" s="6"/>
      <c r="L6" s="4">
        <f>(4608.68+0.02*4608.68)</f>
        <v>4700.8536000000004</v>
      </c>
      <c r="M6" s="4">
        <f>((50.07+50.07*0.02)*G6)</f>
        <v>51.071399999999997</v>
      </c>
      <c r="N6" s="4"/>
      <c r="O6" s="5"/>
      <c r="P6" s="5"/>
      <c r="Q6" s="5"/>
      <c r="R6" s="5"/>
      <c r="S6" s="5"/>
      <c r="T6" s="5"/>
      <c r="U6" s="4"/>
      <c r="V6" s="8">
        <v>7</v>
      </c>
      <c r="W6" s="5">
        <f>L6*V6</f>
        <v>32905.975200000001</v>
      </c>
      <c r="X6" s="5">
        <f>M6*V6</f>
        <v>357.49979999999999</v>
      </c>
      <c r="Y6" s="5">
        <f>L6*1</f>
        <v>4700.8536000000004</v>
      </c>
      <c r="Z6" s="5">
        <f>ROUND(O6*V6,2)</f>
        <v>0</v>
      </c>
      <c r="AA6" s="5">
        <f>ROUND(P6*V6,2)</f>
        <v>0</v>
      </c>
      <c r="AB6" s="5">
        <f>ROUND(Q6*V6,2)</f>
        <v>0</v>
      </c>
      <c r="AC6" s="5">
        <f>ROUND(R6*V6,2)</f>
        <v>0</v>
      </c>
      <c r="AD6" s="5">
        <f>ROUND(S6*V6,2)</f>
        <v>0</v>
      </c>
      <c r="AE6" s="148">
        <f>W6+X6+Y6+Z6+AA6+AB6</f>
        <v>37964.328600000001</v>
      </c>
      <c r="AF6" s="149"/>
    </row>
    <row r="7" spans="1:37">
      <c r="A7" s="254"/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116"/>
    </row>
    <row r="8" spans="1:37">
      <c r="A8" s="9"/>
      <c r="B8" s="10"/>
      <c r="C8" s="10"/>
      <c r="D8" s="10" t="s">
        <v>189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2"/>
    </row>
    <row r="9" spans="1:37" ht="26.25">
      <c r="A9" s="9" t="s">
        <v>52</v>
      </c>
      <c r="B9" s="9"/>
      <c r="C9" s="9" t="s">
        <v>51</v>
      </c>
      <c r="D9" s="12" t="s">
        <v>90</v>
      </c>
      <c r="E9" s="9" t="s">
        <v>91</v>
      </c>
      <c r="F9" s="13" t="s">
        <v>124</v>
      </c>
      <c r="G9" s="13" t="s">
        <v>176</v>
      </c>
      <c r="H9" s="13" t="s">
        <v>125</v>
      </c>
      <c r="I9" s="9" t="s">
        <v>32</v>
      </c>
      <c r="J9" s="9" t="s">
        <v>167</v>
      </c>
      <c r="K9" s="9" t="s">
        <v>168</v>
      </c>
      <c r="L9" s="14" t="s">
        <v>92</v>
      </c>
      <c r="M9" s="14" t="s">
        <v>93</v>
      </c>
      <c r="N9" s="14" t="s">
        <v>94</v>
      </c>
      <c r="O9" s="14" t="s">
        <v>95</v>
      </c>
      <c r="P9" s="14" t="s">
        <v>96</v>
      </c>
      <c r="Q9" s="14" t="s">
        <v>97</v>
      </c>
      <c r="R9" s="14" t="s">
        <v>98</v>
      </c>
      <c r="S9" s="14" t="s">
        <v>99</v>
      </c>
      <c r="T9" s="14" t="s">
        <v>100</v>
      </c>
      <c r="U9" s="14" t="s">
        <v>101</v>
      </c>
      <c r="V9" s="9" t="s">
        <v>102</v>
      </c>
      <c r="W9" s="14" t="s">
        <v>103</v>
      </c>
      <c r="X9" s="14" t="s">
        <v>104</v>
      </c>
      <c r="Y9" s="14" t="s">
        <v>105</v>
      </c>
      <c r="Z9" s="14" t="s">
        <v>106</v>
      </c>
      <c r="AA9" s="14" t="s">
        <v>107</v>
      </c>
      <c r="AB9" s="14" t="s">
        <v>108</v>
      </c>
      <c r="AC9" s="14" t="s">
        <v>109</v>
      </c>
      <c r="AD9" s="14" t="s">
        <v>110</v>
      </c>
      <c r="AE9" s="69" t="s">
        <v>422</v>
      </c>
      <c r="AF9" s="121" t="s">
        <v>392</v>
      </c>
      <c r="AK9" s="100"/>
    </row>
    <row r="10" spans="1:37">
      <c r="A10" s="7">
        <v>262</v>
      </c>
      <c r="B10" s="7" t="s">
        <v>322</v>
      </c>
      <c r="C10" s="7" t="s">
        <v>130</v>
      </c>
      <c r="D10" s="137" t="s">
        <v>170</v>
      </c>
      <c r="E10" s="6" t="s">
        <v>162</v>
      </c>
      <c r="F10" s="7" t="s">
        <v>127</v>
      </c>
      <c r="G10" s="206">
        <f>'trienios 2025'!F2</f>
        <v>4</v>
      </c>
      <c r="H10" s="15">
        <v>45992</v>
      </c>
      <c r="I10" s="7" t="s">
        <v>3</v>
      </c>
      <c r="J10" s="7">
        <v>26</v>
      </c>
      <c r="K10" s="7">
        <v>77</v>
      </c>
      <c r="L10" s="4">
        <f>'TABLA SALARIAL 2024 (23 X 2%)'!D3</f>
        <v>1147.3499999999999</v>
      </c>
      <c r="M10" s="4">
        <f>'TABLA SALARIAL 2024 (23 X 2%)'!E3*'personal imd 2024'!G10</f>
        <v>166.6</v>
      </c>
      <c r="N10" s="4">
        <f>ROUND((T10+U10+O10+P10)*2/12,2)</f>
        <v>609.38</v>
      </c>
      <c r="O10" s="4">
        <f>'TABLA SALARIAL 2024 (23 X 2%)'!B13</f>
        <v>835.38</v>
      </c>
      <c r="P10" s="4">
        <f>'TABLA SALARIAL 2024 (23 X 2%)'!G9</f>
        <v>1862.63</v>
      </c>
      <c r="Q10" s="4">
        <f>'TABLA SALARIAL 2024 (23 X 2%)'!D5</f>
        <v>167.76</v>
      </c>
      <c r="R10" s="5"/>
      <c r="S10" s="5"/>
      <c r="T10" s="4">
        <f>'TABLA SALARIAL 2024 (23 X 2%)'!D4</f>
        <v>836.78</v>
      </c>
      <c r="U10" s="5">
        <f>'TABLA SALARIAL 2024 (23 X 2%)'!E4*'personal imd 2024'!G10</f>
        <v>121.48</v>
      </c>
      <c r="V10" s="8">
        <v>7</v>
      </c>
      <c r="W10" s="5">
        <f>ROUND(L10*V10,2)</f>
        <v>8031.45</v>
      </c>
      <c r="X10" s="5">
        <f>ROUND(M10*V10,2)</f>
        <v>1166.2</v>
      </c>
      <c r="Y10" s="5">
        <f>ROUND(N10*V10,2)</f>
        <v>4265.66</v>
      </c>
      <c r="Z10" s="5">
        <f t="shared" ref="Z10:Z14" si="0">ROUND(O10*V10,2)</f>
        <v>5847.66</v>
      </c>
      <c r="AA10" s="5">
        <f t="shared" ref="AA10:AA14" si="1">ROUND(P10*V10,2)</f>
        <v>13038.41</v>
      </c>
      <c r="AB10" s="5">
        <f t="shared" ref="AB10:AB14" si="2">ROUND(Q10*V10,2)</f>
        <v>1174.32</v>
      </c>
      <c r="AC10" s="5">
        <f>ROUND(R10*V10,2)</f>
        <v>0</v>
      </c>
      <c r="AD10" s="5">
        <f>ROUND(S10*V10,2)</f>
        <v>0</v>
      </c>
      <c r="AE10" s="101">
        <f>W10+X10+Y10+Z10+AA10+AB10</f>
        <v>33523.700000000004</v>
      </c>
      <c r="AF10" s="5"/>
      <c r="AI10" s="100"/>
    </row>
    <row r="11" spans="1:37">
      <c r="A11" s="48"/>
      <c r="B11" s="66" t="s">
        <v>325</v>
      </c>
      <c r="C11" s="66" t="s">
        <v>50</v>
      </c>
      <c r="D11" s="138" t="s">
        <v>169</v>
      </c>
      <c r="E11" s="68" t="s">
        <v>172</v>
      </c>
      <c r="F11" s="66" t="s">
        <v>173</v>
      </c>
      <c r="G11" s="66"/>
      <c r="H11" s="66"/>
      <c r="I11" s="66" t="s">
        <v>3</v>
      </c>
      <c r="J11" s="66">
        <v>20</v>
      </c>
      <c r="K11" s="66">
        <v>51</v>
      </c>
      <c r="L11" s="67">
        <v>0</v>
      </c>
      <c r="M11" s="67">
        <v>0</v>
      </c>
      <c r="N11" s="67">
        <v>0</v>
      </c>
      <c r="O11" s="67">
        <v>0</v>
      </c>
      <c r="P11" s="67">
        <v>0</v>
      </c>
      <c r="Q11" s="67">
        <v>0</v>
      </c>
      <c r="R11" s="49"/>
      <c r="S11" s="49"/>
      <c r="T11" s="67">
        <v>0</v>
      </c>
      <c r="U11" s="49">
        <v>0</v>
      </c>
      <c r="V11" s="129">
        <v>0.03</v>
      </c>
      <c r="W11" s="49">
        <f>ROUND(L11*V11,2)</f>
        <v>0</v>
      </c>
      <c r="X11" s="49">
        <f>ROUND(M11*V11,2)</f>
        <v>0</v>
      </c>
      <c r="Y11" s="49">
        <f>ROUND(N11*V11,2)</f>
        <v>0</v>
      </c>
      <c r="Z11" s="49">
        <f t="shared" si="0"/>
        <v>0</v>
      </c>
      <c r="AA11" s="49">
        <f t="shared" si="1"/>
        <v>0</v>
      </c>
      <c r="AB11" s="49">
        <f t="shared" si="2"/>
        <v>0</v>
      </c>
      <c r="AC11" s="49">
        <f>ROUND(R11*V11,2)</f>
        <v>0</v>
      </c>
      <c r="AD11" s="49">
        <f>ROUND(S11*V11,2)</f>
        <v>0</v>
      </c>
      <c r="AE11" s="103">
        <f>W11+X11+Y11+Z11+AA11+AB11</f>
        <v>0</v>
      </c>
      <c r="AF11" s="5">
        <f t="shared" ref="AF11:AF12" si="3">AE11-X11</f>
        <v>0</v>
      </c>
    </row>
    <row r="12" spans="1:37">
      <c r="A12" s="48"/>
      <c r="B12" s="66" t="s">
        <v>326</v>
      </c>
      <c r="C12" s="66" t="s">
        <v>15</v>
      </c>
      <c r="D12" s="138" t="s">
        <v>169</v>
      </c>
      <c r="E12" s="68" t="s">
        <v>174</v>
      </c>
      <c r="F12" s="66" t="s">
        <v>7</v>
      </c>
      <c r="G12" s="66"/>
      <c r="H12" s="66"/>
      <c r="I12" s="66" t="s">
        <v>7</v>
      </c>
      <c r="J12" s="66">
        <v>18</v>
      </c>
      <c r="K12" s="66">
        <v>37</v>
      </c>
      <c r="L12" s="67">
        <v>0</v>
      </c>
      <c r="M12" s="67">
        <v>0</v>
      </c>
      <c r="N12" s="67">
        <v>0</v>
      </c>
      <c r="O12" s="67">
        <v>0</v>
      </c>
      <c r="P12" s="67">
        <v>0</v>
      </c>
      <c r="Q12" s="67">
        <v>0</v>
      </c>
      <c r="R12" s="49"/>
      <c r="S12" s="49"/>
      <c r="T12" s="67">
        <v>0</v>
      </c>
      <c r="U12" s="49">
        <v>0</v>
      </c>
      <c r="V12" s="129">
        <v>0.03</v>
      </c>
      <c r="W12" s="49">
        <f>ROUND(L12*V12,2)</f>
        <v>0</v>
      </c>
      <c r="X12" s="49">
        <f>ROUND(M12*V12,2)</f>
        <v>0</v>
      </c>
      <c r="Y12" s="49">
        <f>ROUND(N12*V12,2)</f>
        <v>0</v>
      </c>
      <c r="Z12" s="49">
        <f t="shared" si="0"/>
        <v>0</v>
      </c>
      <c r="AA12" s="49">
        <f t="shared" si="1"/>
        <v>0</v>
      </c>
      <c r="AB12" s="49">
        <f t="shared" si="2"/>
        <v>0</v>
      </c>
      <c r="AC12" s="49">
        <f>ROUND(R12*V12,2)</f>
        <v>0</v>
      </c>
      <c r="AD12" s="49">
        <f>ROUND(S12*V12,2)</f>
        <v>0</v>
      </c>
      <c r="AE12" s="103">
        <f>W12+X12+Y12+Z12+AA12+AB12</f>
        <v>0</v>
      </c>
      <c r="AF12" s="5">
        <f t="shared" si="3"/>
        <v>0</v>
      </c>
    </row>
    <row r="13" spans="1:37">
      <c r="A13" s="72">
        <v>207</v>
      </c>
      <c r="B13" s="72" t="s">
        <v>263</v>
      </c>
      <c r="C13" s="72" t="s">
        <v>187</v>
      </c>
      <c r="D13" s="139" t="s">
        <v>88</v>
      </c>
      <c r="E13" s="73" t="s">
        <v>118</v>
      </c>
      <c r="F13" s="70" t="s">
        <v>7</v>
      </c>
      <c r="G13" s="207">
        <f>'trienios 2025'!F3</f>
        <v>5</v>
      </c>
      <c r="H13" s="74">
        <v>45959</v>
      </c>
      <c r="I13" s="72" t="s">
        <v>7</v>
      </c>
      <c r="J13" s="72">
        <v>18</v>
      </c>
      <c r="K13" s="72">
        <v>37</v>
      </c>
      <c r="L13" s="75">
        <f>'TABLA SALARIAL 2024 (23 X 2%)'!F3</f>
        <v>861.46</v>
      </c>
      <c r="M13" s="75">
        <f>'TABLA SALARIAL 2024 (23 X 2%)'!G3*'personal imd 2024'!G13</f>
        <v>157.65</v>
      </c>
      <c r="N13" s="75">
        <f>ROUND((T13+U13+O13+P13)*2/12,2)</f>
        <v>374.67</v>
      </c>
      <c r="O13" s="75">
        <f>'TABLA SALARIAL 2024 (23 X 2%)'!B21</f>
        <v>472.37</v>
      </c>
      <c r="P13" s="75">
        <f>'TABLA SALARIAL 2024 (23 X 2%)'!G18</f>
        <v>895.03000000000009</v>
      </c>
      <c r="Q13" s="75">
        <f>'TABLA SALARIAL 2024 (23 X 2%)'!F5</f>
        <v>138.32</v>
      </c>
      <c r="R13" s="71"/>
      <c r="S13" s="77">
        <f>420.74</f>
        <v>420.74</v>
      </c>
      <c r="T13" s="75">
        <f>'TABLA SALARIAL 2024 (23 X 2%)'!F4</f>
        <v>744.56</v>
      </c>
      <c r="U13" s="75">
        <f>'TABLA SALARIAL 2024 (23 X 2%)'!G4*'personal imd 2024'!G13</f>
        <v>136.05000000000001</v>
      </c>
      <c r="V13" s="76">
        <v>7</v>
      </c>
      <c r="W13" s="71">
        <f>ROUND(L13*V13,2)</f>
        <v>6030.22</v>
      </c>
      <c r="X13" s="71">
        <f>ROUND(M13*V13,2)</f>
        <v>1103.55</v>
      </c>
      <c r="Y13" s="71">
        <f>ROUND(N13*V13,2)</f>
        <v>2622.69</v>
      </c>
      <c r="Z13" s="71">
        <f t="shared" si="0"/>
        <v>3306.59</v>
      </c>
      <c r="AA13" s="71">
        <f t="shared" si="1"/>
        <v>6265.21</v>
      </c>
      <c r="AB13" s="71">
        <f t="shared" si="2"/>
        <v>968.24</v>
      </c>
      <c r="AC13" s="71">
        <f>ROUND(R13*V13,2)</f>
        <v>0</v>
      </c>
      <c r="AD13" s="146">
        <f>ROUND(S13*V13,2)</f>
        <v>2945.18</v>
      </c>
      <c r="AE13" s="104">
        <f>W13+X13+Y13+Z13+AA13+AB13+AD13</f>
        <v>23241.680000000004</v>
      </c>
      <c r="AF13" s="5"/>
    </row>
    <row r="14" spans="1:37">
      <c r="A14" s="72">
        <v>232</v>
      </c>
      <c r="B14" s="72" t="s">
        <v>253</v>
      </c>
      <c r="C14" s="72" t="s">
        <v>191</v>
      </c>
      <c r="D14" s="139" t="s">
        <v>190</v>
      </c>
      <c r="E14" s="73" t="s">
        <v>122</v>
      </c>
      <c r="F14" s="70" t="s">
        <v>7</v>
      </c>
      <c r="G14" s="70">
        <v>1</v>
      </c>
      <c r="H14" s="74">
        <v>46174</v>
      </c>
      <c r="I14" s="72" t="s">
        <v>7</v>
      </c>
      <c r="J14" s="72">
        <v>16</v>
      </c>
      <c r="K14" s="72">
        <v>36</v>
      </c>
      <c r="L14" s="75">
        <f>'TABLA SALARIAL 2024 (23 X 2%)'!F3</f>
        <v>861.46</v>
      </c>
      <c r="M14" s="75">
        <f>'TABLA SALARIAL 2024 (23 X 2%)'!G3*'personal imd 2024'!G14</f>
        <v>31.53</v>
      </c>
      <c r="N14" s="75">
        <f>ROUND((T14+U14+O14+P14)*2/12,2)</f>
        <v>343.55</v>
      </c>
      <c r="O14" s="75">
        <f>'TABLA SALARIAL 2024 (23 X 2%)'!B23</f>
        <v>418.69</v>
      </c>
      <c r="P14" s="75">
        <f>'TABLA SALARIAL 2024 (23 X 2%)'!G19</f>
        <v>870.84</v>
      </c>
      <c r="Q14" s="75">
        <f>'TABLA SALARIAL 2024 (23 X 2%)'!F5</f>
        <v>138.32</v>
      </c>
      <c r="R14" s="71"/>
      <c r="S14" s="75"/>
      <c r="T14" s="75">
        <f>'TABLA SALARIAL 2024 (23 X 2%)'!F4</f>
        <v>744.56</v>
      </c>
      <c r="U14" s="75">
        <f>'TABLA SALARIAL 2024 (23 X 2%)'!G4*'personal imd 2024'!G14</f>
        <v>27.21</v>
      </c>
      <c r="V14" s="76">
        <v>7</v>
      </c>
      <c r="W14" s="71">
        <f>ROUND(L14*V14,2)</f>
        <v>6030.22</v>
      </c>
      <c r="X14" s="71">
        <f>ROUND(M14*V14,2)</f>
        <v>220.71</v>
      </c>
      <c r="Y14" s="71">
        <f>ROUND(N14*V14,2)</f>
        <v>2404.85</v>
      </c>
      <c r="Z14" s="71">
        <f t="shared" si="0"/>
        <v>2930.83</v>
      </c>
      <c r="AA14" s="71">
        <f t="shared" si="1"/>
        <v>6095.88</v>
      </c>
      <c r="AB14" s="71">
        <f t="shared" si="2"/>
        <v>968.24</v>
      </c>
      <c r="AC14" s="71">
        <f>ROUND(R14*V14,2)</f>
        <v>0</v>
      </c>
      <c r="AD14" s="71">
        <f>ROUND(S14*V14,2)</f>
        <v>0</v>
      </c>
      <c r="AE14" s="104">
        <f>W14+X14+Y14+Z14+AA14+AB14</f>
        <v>18650.730000000003</v>
      </c>
      <c r="AF14" s="5"/>
      <c r="AI14" s="100"/>
    </row>
    <row r="15" spans="1:37">
      <c r="A15" s="86"/>
      <c r="B15" s="87"/>
      <c r="C15" s="87"/>
      <c r="D15" s="88"/>
      <c r="E15" s="89"/>
      <c r="F15" s="90"/>
      <c r="G15" s="90"/>
      <c r="H15" s="91"/>
      <c r="I15" s="87"/>
      <c r="J15" s="87"/>
      <c r="K15" s="87"/>
      <c r="L15" s="92"/>
      <c r="M15" s="92"/>
      <c r="N15" s="92"/>
      <c r="O15" s="92"/>
      <c r="P15" s="92"/>
      <c r="Q15" s="92"/>
      <c r="R15" s="93"/>
      <c r="S15" s="92"/>
      <c r="T15" s="92"/>
      <c r="U15" s="92"/>
      <c r="V15" s="88"/>
      <c r="W15" s="93"/>
      <c r="X15" s="93">
        <f>SUM(X10:X14)</f>
        <v>2490.46</v>
      </c>
      <c r="Y15" s="93"/>
      <c r="Z15" s="93"/>
      <c r="AA15" s="93">
        <f>SUM(AA10:AA14)</f>
        <v>25399.5</v>
      </c>
      <c r="AB15" s="93"/>
      <c r="AC15" s="93"/>
      <c r="AD15" s="93"/>
      <c r="AE15" s="105">
        <f>SUM(AE10:AE14)</f>
        <v>75416.110000000015</v>
      </c>
      <c r="AF15" s="105">
        <f>SUM(AF10:AF14)</f>
        <v>0</v>
      </c>
    </row>
    <row r="16" spans="1:37">
      <c r="A16" s="256"/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115"/>
    </row>
    <row r="17" spans="1:32">
      <c r="A17" s="18"/>
      <c r="B17" s="19"/>
      <c r="C17" s="19"/>
      <c r="D17" s="19" t="s">
        <v>192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1"/>
    </row>
    <row r="18" spans="1:32" ht="26.25">
      <c r="A18" s="18" t="s">
        <v>52</v>
      </c>
      <c r="B18" s="18"/>
      <c r="C18" s="18" t="s">
        <v>51</v>
      </c>
      <c r="D18" s="21" t="s">
        <v>90</v>
      </c>
      <c r="E18" s="18" t="s">
        <v>91</v>
      </c>
      <c r="F18" s="22" t="s">
        <v>124</v>
      </c>
      <c r="G18" s="22" t="s">
        <v>176</v>
      </c>
      <c r="H18" s="22" t="s">
        <v>125</v>
      </c>
      <c r="I18" s="18" t="s">
        <v>32</v>
      </c>
      <c r="J18" s="18" t="s">
        <v>167</v>
      </c>
      <c r="K18" s="18" t="s">
        <v>168</v>
      </c>
      <c r="L18" s="23" t="s">
        <v>92</v>
      </c>
      <c r="M18" s="23" t="s">
        <v>93</v>
      </c>
      <c r="N18" s="23" t="s">
        <v>94</v>
      </c>
      <c r="O18" s="23" t="s">
        <v>95</v>
      </c>
      <c r="P18" s="23" t="s">
        <v>96</v>
      </c>
      <c r="Q18" s="23" t="s">
        <v>97</v>
      </c>
      <c r="R18" s="23" t="s">
        <v>98</v>
      </c>
      <c r="S18" s="23" t="s">
        <v>99</v>
      </c>
      <c r="T18" s="23" t="s">
        <v>100</v>
      </c>
      <c r="U18" s="23" t="s">
        <v>101</v>
      </c>
      <c r="V18" s="18" t="s">
        <v>102</v>
      </c>
      <c r="W18" s="23" t="s">
        <v>103</v>
      </c>
      <c r="X18" s="23" t="s">
        <v>104</v>
      </c>
      <c r="Y18" s="23" t="s">
        <v>105</v>
      </c>
      <c r="Z18" s="23" t="s">
        <v>106</v>
      </c>
      <c r="AA18" s="23" t="s">
        <v>107</v>
      </c>
      <c r="AB18" s="23" t="s">
        <v>108</v>
      </c>
      <c r="AC18" s="23" t="s">
        <v>109</v>
      </c>
      <c r="AD18" s="23" t="s">
        <v>110</v>
      </c>
      <c r="AE18" s="69" t="s">
        <v>422</v>
      </c>
      <c r="AF18" s="124" t="s">
        <v>343</v>
      </c>
    </row>
    <row r="19" spans="1:32">
      <c r="A19" s="72">
        <v>43</v>
      </c>
      <c r="B19" s="72" t="s">
        <v>248</v>
      </c>
      <c r="C19" s="72" t="s">
        <v>8</v>
      </c>
      <c r="D19" s="197" t="s">
        <v>427</v>
      </c>
      <c r="E19" s="73" t="s">
        <v>426</v>
      </c>
      <c r="F19" s="70" t="s">
        <v>126</v>
      </c>
      <c r="G19" s="131">
        <f>1+7</f>
        <v>8</v>
      </c>
      <c r="H19" s="74">
        <v>46394</v>
      </c>
      <c r="I19" s="72" t="s">
        <v>7</v>
      </c>
      <c r="J19" s="72">
        <v>22</v>
      </c>
      <c r="K19" s="72">
        <v>52</v>
      </c>
      <c r="L19" s="75">
        <f>'TABLA SALARIAL 2024 (23 X 2%)'!F3</f>
        <v>861.46</v>
      </c>
      <c r="M19" s="133">
        <f>(1*'TABLA SALARIAL 2024 (23 X 2%)'!I3)+(7*'TABLA SALARIAL 2024 (23 X 2%)'!G3)</f>
        <v>242.17000000000002</v>
      </c>
      <c r="N19" s="75">
        <f>ROUND((T19+U19+O19+P19)*2/12,2)</f>
        <v>475.23</v>
      </c>
      <c r="O19" s="75">
        <f>'TABLA SALARIAL 2024 (23 X 2%)'!B17</f>
        <v>610</v>
      </c>
      <c r="P19" s="75">
        <f>'TABLA SALARIAL 2024 (23 X 2%)'!G14</f>
        <v>1257.8800000000001</v>
      </c>
      <c r="Q19" s="75">
        <f>'TABLA SALARIAL 2024 (23 X 2%)'!F5</f>
        <v>138.32</v>
      </c>
      <c r="R19" s="71"/>
      <c r="S19" s="75"/>
      <c r="T19" s="75">
        <f>'TABLA SALARIAL 2024 (23 X 2%)'!F4</f>
        <v>744.56</v>
      </c>
      <c r="U19" s="134">
        <f>(1*'TABLA SALARIAL 2024 (23 X 2%)'!I4)+(8*'TABLA SALARIAL 2024 (23 X 2%)'!G4)</f>
        <v>238.92000000000002</v>
      </c>
      <c r="V19" s="76">
        <v>7</v>
      </c>
      <c r="W19" s="71">
        <f>ROUND(L19*V19,2)</f>
        <v>6030.22</v>
      </c>
      <c r="X19" s="71">
        <f>ROUND(M19*V19,2)</f>
        <v>1695.19</v>
      </c>
      <c r="Y19" s="71">
        <f>ROUND(N19*V19,2)</f>
        <v>3326.61</v>
      </c>
      <c r="Z19" s="71">
        <f>ROUND(O19*V19,2)</f>
        <v>4270</v>
      </c>
      <c r="AA19" s="71">
        <f>ROUND(P19*V19,2)</f>
        <v>8805.16</v>
      </c>
      <c r="AB19" s="71">
        <f>ROUND(Q19*V19,2)</f>
        <v>968.24</v>
      </c>
      <c r="AC19" s="71">
        <f>ROUND(R19*V19,2)</f>
        <v>0</v>
      </c>
      <c r="AD19" s="71">
        <f>ROUND(S19*V19,2)</f>
        <v>0</v>
      </c>
      <c r="AE19" s="104">
        <f>W19+X19+Y19+Z19+AA19+AB19</f>
        <v>25095.420000000002</v>
      </c>
      <c r="AF19" s="71"/>
    </row>
    <row r="20" spans="1:32">
      <c r="A20" s="78" t="s">
        <v>241</v>
      </c>
      <c r="B20" s="66" t="s">
        <v>327</v>
      </c>
      <c r="C20" s="66" t="s">
        <v>159</v>
      </c>
      <c r="D20" s="179" t="s">
        <v>129</v>
      </c>
      <c r="E20" s="68" t="s">
        <v>165</v>
      </c>
      <c r="F20" s="66" t="s">
        <v>126</v>
      </c>
      <c r="G20" s="66"/>
      <c r="H20" s="66"/>
      <c r="I20" s="66" t="s">
        <v>3</v>
      </c>
      <c r="J20" s="66">
        <v>20</v>
      </c>
      <c r="K20" s="66">
        <v>45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49"/>
      <c r="S20" s="49"/>
      <c r="T20" s="67">
        <v>0</v>
      </c>
      <c r="U20" s="49">
        <v>0</v>
      </c>
      <c r="V20" s="129">
        <v>12</v>
      </c>
      <c r="W20" s="49">
        <f>ROUND(L20*V20,2)</f>
        <v>0</v>
      </c>
      <c r="X20" s="49">
        <f>ROUND(M20*V20,2)</f>
        <v>0</v>
      </c>
      <c r="Y20" s="49">
        <f>ROUND(N20*V20,2)</f>
        <v>0</v>
      </c>
      <c r="Z20" s="49">
        <f t="shared" ref="Z20:Z22" si="4">ROUND(O20*V20,2)</f>
        <v>0</v>
      </c>
      <c r="AA20" s="49">
        <f t="shared" ref="AA20:AA22" si="5">ROUND(P20*V20,2)</f>
        <v>0</v>
      </c>
      <c r="AB20" s="49">
        <f t="shared" ref="AB20:AB22" si="6">ROUND(Q20*V20,2)</f>
        <v>0</v>
      </c>
      <c r="AC20" s="49">
        <f>ROUND(R20*V20,2)</f>
        <v>0</v>
      </c>
      <c r="AD20" s="49">
        <f>ROUND(S20*V20,2)</f>
        <v>0</v>
      </c>
      <c r="AE20" s="103">
        <f>W20+X20+Y20+Z20+AA20+AB20</f>
        <v>0</v>
      </c>
      <c r="AF20" s="49">
        <f t="shared" ref="AF20" si="7">AE20-X20</f>
        <v>0</v>
      </c>
    </row>
    <row r="21" spans="1:32">
      <c r="A21" s="70">
        <v>42</v>
      </c>
      <c r="B21" s="70" t="s">
        <v>247</v>
      </c>
      <c r="C21" s="70" t="s">
        <v>160</v>
      </c>
      <c r="D21" s="85" t="s">
        <v>203</v>
      </c>
      <c r="E21" s="73" t="s">
        <v>177</v>
      </c>
      <c r="F21" s="70" t="s">
        <v>183</v>
      </c>
      <c r="G21" s="207">
        <f>'trienios 2025'!F4</f>
        <v>8</v>
      </c>
      <c r="H21" s="79">
        <v>45919</v>
      </c>
      <c r="I21" s="70" t="s">
        <v>0</v>
      </c>
      <c r="J21" s="70">
        <v>18</v>
      </c>
      <c r="K21" s="70">
        <v>37</v>
      </c>
      <c r="L21" s="75">
        <f>'TABLA SALARIAL 2024 (23 X 2%)'!H3</f>
        <v>716.98</v>
      </c>
      <c r="M21" s="75">
        <f>('TABLA SALARIAL 2024 (23 X 2%)'!I3*'personal imd 2024'!G21)</f>
        <v>171.68</v>
      </c>
      <c r="N21" s="75">
        <f t="shared" ref="N21" si="8">ROUND((T21+U21+O21+P21)*2/12,2)</f>
        <v>374.63</v>
      </c>
      <c r="O21" s="75">
        <f>'TABLA SALARIAL 2024 (23 X 2%)'!B21</f>
        <v>472.37</v>
      </c>
      <c r="P21" s="75">
        <f>'TABLA SALARIAL 2024 (23 X 2%)'!G18</f>
        <v>895.03000000000009</v>
      </c>
      <c r="Q21" s="75">
        <f>'TABLA SALARIAL 2024 (23 X 2%)'!H5</f>
        <v>114.02</v>
      </c>
      <c r="R21" s="71"/>
      <c r="S21" s="71"/>
      <c r="T21" s="75">
        <f>'TABLA SALARIAL 2024 (23 X 2%)'!H4</f>
        <v>710.44</v>
      </c>
      <c r="U21" s="71">
        <f>'TABLA SALARIAL 2024 (23 X 2%)'!I4*'personal imd 2024'!G21</f>
        <v>169.92</v>
      </c>
      <c r="V21" s="76">
        <v>7</v>
      </c>
      <c r="W21" s="71">
        <f>ROUND(L21*V21,2)</f>
        <v>5018.8599999999997</v>
      </c>
      <c r="X21" s="71">
        <f>ROUND(M21*V21,2)</f>
        <v>1201.76</v>
      </c>
      <c r="Y21" s="71">
        <f>ROUND(N21*V21,2)</f>
        <v>2622.41</v>
      </c>
      <c r="Z21" s="71">
        <f t="shared" si="4"/>
        <v>3306.59</v>
      </c>
      <c r="AA21" s="71">
        <f t="shared" si="5"/>
        <v>6265.21</v>
      </c>
      <c r="AB21" s="71">
        <f t="shared" si="6"/>
        <v>798.14</v>
      </c>
      <c r="AC21" s="71">
        <f>ROUND(R21*V21,2)</f>
        <v>0</v>
      </c>
      <c r="AD21" s="71">
        <f>ROUND(S21*V21,2)</f>
        <v>0</v>
      </c>
      <c r="AE21" s="104">
        <f>W21+X21+Y21+Z21+AA21+AB21</f>
        <v>19212.969999999998</v>
      </c>
      <c r="AF21" s="71">
        <v>0</v>
      </c>
    </row>
    <row r="22" spans="1:32">
      <c r="A22" s="72">
        <v>32</v>
      </c>
      <c r="B22" s="72" t="s">
        <v>245</v>
      </c>
      <c r="C22" s="72" t="s">
        <v>186</v>
      </c>
      <c r="D22" s="198" t="s">
        <v>429</v>
      </c>
      <c r="E22" s="73" t="s">
        <v>428</v>
      </c>
      <c r="F22" s="70" t="s">
        <v>3</v>
      </c>
      <c r="G22" s="70">
        <f>5+3</f>
        <v>8</v>
      </c>
      <c r="H22" s="74">
        <v>46616</v>
      </c>
      <c r="I22" s="72" t="s">
        <v>3</v>
      </c>
      <c r="J22" s="72">
        <v>22</v>
      </c>
      <c r="K22" s="72">
        <v>54</v>
      </c>
      <c r="L22" s="75">
        <f>'TABLA SALARIAL 2024 (23 X 2%)'!D3</f>
        <v>1147.3499999999999</v>
      </c>
      <c r="M22" s="77">
        <f>(5*'TABLA SALARIAL 2024 (23 X 2%)'!I3)+(2*'TABLA SALARIAL 2024 (23 X 2%)'!E3)</f>
        <v>190.60000000000002</v>
      </c>
      <c r="N22" s="4">
        <f>ROUND((T22+U22+O22+P22)*2/12,2)</f>
        <v>491.64</v>
      </c>
      <c r="O22" s="75">
        <f>'TABLA SALARIAL 2024 (23 X 2%)'!B17</f>
        <v>610</v>
      </c>
      <c r="P22" s="75">
        <f>'TABLA SALARIAL 2024 (23 X 2%)'!G13</f>
        <v>1306.26</v>
      </c>
      <c r="Q22" s="75">
        <f>'TABLA SALARIAL 2024 (23 X 2%)'!D5</f>
        <v>167.76</v>
      </c>
      <c r="R22" s="71"/>
      <c r="S22" s="71"/>
      <c r="T22" s="75">
        <f>'TABLA SALARIAL 2024 (23 X 2%)'!D4</f>
        <v>836.78</v>
      </c>
      <c r="U22" s="71">
        <f>(5*'TABLA SALARIAL 2024 (23 X 2%)'!G4)+(2*'TABLA SALARIAL 2024 (23 X 2%)'!E4)</f>
        <v>196.79000000000002</v>
      </c>
      <c r="V22" s="76">
        <v>7</v>
      </c>
      <c r="W22" s="71">
        <f>ROUND(L22*V22,2)</f>
        <v>8031.45</v>
      </c>
      <c r="X22" s="71">
        <f>ROUND(M22*V22,2)</f>
        <v>1334.2</v>
      </c>
      <c r="Y22" s="71">
        <f>ROUND(N22*V22,2)</f>
        <v>3441.48</v>
      </c>
      <c r="Z22" s="71">
        <f t="shared" si="4"/>
        <v>4270</v>
      </c>
      <c r="AA22" s="71">
        <f t="shared" si="5"/>
        <v>9143.82</v>
      </c>
      <c r="AB22" s="71">
        <f t="shared" si="6"/>
        <v>1174.32</v>
      </c>
      <c r="AC22" s="71">
        <f>ROUND(R22*V22,2)</f>
        <v>0</v>
      </c>
      <c r="AD22" s="71">
        <f>ROUND(S22*V22,2)</f>
        <v>0</v>
      </c>
      <c r="AE22" s="104">
        <f>W22+X22+Y22+Z22+AA22+AB22</f>
        <v>27395.269999999997</v>
      </c>
      <c r="AF22" s="71">
        <v>0</v>
      </c>
    </row>
    <row r="23" spans="1:32">
      <c r="A23" s="86"/>
      <c r="B23" s="87"/>
      <c r="C23" s="87"/>
      <c r="D23" s="88"/>
      <c r="E23" s="89"/>
      <c r="F23" s="90"/>
      <c r="G23" s="90"/>
      <c r="H23" s="91"/>
      <c r="I23" s="87"/>
      <c r="J23" s="87"/>
      <c r="K23" s="87"/>
      <c r="L23" s="92"/>
      <c r="M23" s="94"/>
      <c r="N23" s="92"/>
      <c r="O23" s="92"/>
      <c r="P23" s="92"/>
      <c r="Q23" s="92"/>
      <c r="R23" s="93"/>
      <c r="S23" s="93"/>
      <c r="T23" s="92"/>
      <c r="U23" s="93"/>
      <c r="V23" s="88"/>
      <c r="W23" s="93"/>
      <c r="X23" s="93">
        <f>SUM(X19:X22)</f>
        <v>4231.1499999999996</v>
      </c>
      <c r="Y23" s="93"/>
      <c r="Z23" s="93"/>
      <c r="AA23" s="93">
        <f>SUM(AA19:AA22)</f>
        <v>24214.19</v>
      </c>
      <c r="AB23" s="93"/>
      <c r="AC23" s="93"/>
      <c r="AD23" s="93"/>
      <c r="AE23" s="105">
        <f>SUM(AE19:AE22)</f>
        <v>71703.66</v>
      </c>
      <c r="AF23" s="105">
        <f>SUM(AF19:AF22)</f>
        <v>0</v>
      </c>
    </row>
    <row r="24" spans="1:32">
      <c r="A24" s="256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115"/>
    </row>
    <row r="25" spans="1:32" s="1" customFormat="1">
      <c r="A25" s="24"/>
      <c r="B25" s="25"/>
      <c r="C25" s="25"/>
      <c r="D25" s="25" t="s">
        <v>200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7"/>
    </row>
    <row r="26" spans="1:32" ht="26.25">
      <c r="A26" s="24" t="s">
        <v>52</v>
      </c>
      <c r="B26" s="24"/>
      <c r="C26" s="24" t="s">
        <v>51</v>
      </c>
      <c r="D26" s="27" t="s">
        <v>90</v>
      </c>
      <c r="E26" s="24" t="s">
        <v>91</v>
      </c>
      <c r="F26" s="28" t="s">
        <v>124</v>
      </c>
      <c r="G26" s="28" t="s">
        <v>176</v>
      </c>
      <c r="H26" s="28" t="s">
        <v>125</v>
      </c>
      <c r="I26" s="24" t="s">
        <v>32</v>
      </c>
      <c r="J26" s="24" t="s">
        <v>167</v>
      </c>
      <c r="K26" s="24" t="s">
        <v>168</v>
      </c>
      <c r="L26" s="29" t="s">
        <v>92</v>
      </c>
      <c r="M26" s="29" t="s">
        <v>93</v>
      </c>
      <c r="N26" s="29" t="s">
        <v>94</v>
      </c>
      <c r="O26" s="29" t="s">
        <v>95</v>
      </c>
      <c r="P26" s="29" t="s">
        <v>96</v>
      </c>
      <c r="Q26" s="29" t="s">
        <v>97</v>
      </c>
      <c r="R26" s="29" t="s">
        <v>98</v>
      </c>
      <c r="S26" s="29" t="s">
        <v>99</v>
      </c>
      <c r="T26" s="29" t="s">
        <v>100</v>
      </c>
      <c r="U26" s="29" t="s">
        <v>101</v>
      </c>
      <c r="V26" s="24" t="s">
        <v>102</v>
      </c>
      <c r="W26" s="29" t="s">
        <v>103</v>
      </c>
      <c r="X26" s="29" t="s">
        <v>104</v>
      </c>
      <c r="Y26" s="29" t="s">
        <v>105</v>
      </c>
      <c r="Z26" s="29" t="s">
        <v>106</v>
      </c>
      <c r="AA26" s="29" t="s">
        <v>107</v>
      </c>
      <c r="AB26" s="29" t="s">
        <v>108</v>
      </c>
      <c r="AC26" s="29" t="s">
        <v>109</v>
      </c>
      <c r="AD26" s="29" t="s">
        <v>110</v>
      </c>
      <c r="AE26" s="69" t="s">
        <v>422</v>
      </c>
      <c r="AF26" s="122" t="s">
        <v>343</v>
      </c>
    </row>
    <row r="27" spans="1:32">
      <c r="A27" s="70"/>
      <c r="B27" s="70" t="s">
        <v>328</v>
      </c>
      <c r="C27" s="70" t="s">
        <v>25</v>
      </c>
      <c r="D27" s="141" t="s">
        <v>169</v>
      </c>
      <c r="E27" s="73" t="s">
        <v>182</v>
      </c>
      <c r="F27" s="70" t="s">
        <v>127</v>
      </c>
      <c r="G27" s="70"/>
      <c r="H27" s="70"/>
      <c r="I27" s="70" t="s">
        <v>11</v>
      </c>
      <c r="J27" s="70">
        <v>26</v>
      </c>
      <c r="K27" s="70">
        <v>75</v>
      </c>
      <c r="L27" s="75">
        <v>0</v>
      </c>
      <c r="M27" s="71">
        <v>0</v>
      </c>
      <c r="N27" s="75">
        <v>0</v>
      </c>
      <c r="O27" s="75">
        <v>0</v>
      </c>
      <c r="P27" s="75">
        <v>0</v>
      </c>
      <c r="Q27" s="75">
        <v>0</v>
      </c>
      <c r="R27" s="71"/>
      <c r="S27" s="71"/>
      <c r="T27" s="75">
        <v>0</v>
      </c>
      <c r="U27" s="71">
        <v>0</v>
      </c>
      <c r="V27" s="128">
        <v>12</v>
      </c>
      <c r="W27" s="71">
        <f>ROUND(L27*V27,2)</f>
        <v>0</v>
      </c>
      <c r="X27" s="71">
        <f>ROUND(M27*V27,2)</f>
        <v>0</v>
      </c>
      <c r="Y27" s="71">
        <f>ROUND(N27*V27,2)</f>
        <v>0</v>
      </c>
      <c r="Z27" s="71">
        <f t="shared" ref="Z27" si="9">ROUND(O27*V27,2)</f>
        <v>0</v>
      </c>
      <c r="AA27" s="71">
        <f t="shared" ref="AA27" si="10">ROUND(P27*V27,2)</f>
        <v>0</v>
      </c>
      <c r="AB27" s="71">
        <f t="shared" ref="AB27" si="11">ROUND(Q27*V27,2)</f>
        <v>0</v>
      </c>
      <c r="AC27" s="71">
        <f>ROUND(R27*V27,2)</f>
        <v>0</v>
      </c>
      <c r="AD27" s="71">
        <f>ROUND(S27*V27,2)</f>
        <v>0</v>
      </c>
      <c r="AE27" s="104">
        <f>W27+X27+Y27+Z27+AA27+AB27</f>
        <v>0</v>
      </c>
      <c r="AF27" s="71">
        <f>AE27-X27</f>
        <v>0</v>
      </c>
    </row>
    <row r="28" spans="1:32">
      <c r="A28" s="72">
        <v>83</v>
      </c>
      <c r="B28" s="72" t="s">
        <v>277</v>
      </c>
      <c r="C28" s="72" t="s">
        <v>185</v>
      </c>
      <c r="D28" s="135" t="s">
        <v>69</v>
      </c>
      <c r="E28" s="73" t="s">
        <v>119</v>
      </c>
      <c r="F28" s="70" t="s">
        <v>127</v>
      </c>
      <c r="G28" s="207">
        <f>'trienios 2025'!F5</f>
        <v>7</v>
      </c>
      <c r="H28" s="74">
        <v>45736</v>
      </c>
      <c r="I28" s="72" t="s">
        <v>11</v>
      </c>
      <c r="J28" s="72">
        <v>24</v>
      </c>
      <c r="K28" s="72">
        <v>63</v>
      </c>
      <c r="L28" s="75">
        <f>'TABLA SALARIAL 2024 (23 X 2%)'!B3</f>
        <v>1326.9</v>
      </c>
      <c r="M28" s="75">
        <f>G28*'TABLA SALARIAL 2024 (23 X 2%)'!C3</f>
        <v>357.49</v>
      </c>
      <c r="N28" s="75">
        <f>ROUND((T28+U28+O28+P28)*2/12,2)</f>
        <v>543.49</v>
      </c>
      <c r="O28" s="75">
        <f>'TABLA SALARIAL 2024 (23 X 2%)'!B15</f>
        <v>697.46</v>
      </c>
      <c r="P28" s="75">
        <f>'TABLA SALARIAL 2024 (23 X 2%)'!G11</f>
        <v>1523.97</v>
      </c>
      <c r="Q28" s="75">
        <f>'TABLA SALARIAL 2024 (23 X 2%)'!B5</f>
        <v>205.29</v>
      </c>
      <c r="R28" s="71"/>
      <c r="S28" s="71"/>
      <c r="T28" s="75">
        <f>'TABLA SALARIAL 2024 (23 X 2%)'!B4</f>
        <v>818.82</v>
      </c>
      <c r="U28" s="71">
        <f>G28*'TABLA SALARIAL 2024 (23 X 2%)'!C4</f>
        <v>220.71</v>
      </c>
      <c r="V28" s="76">
        <v>7</v>
      </c>
      <c r="W28" s="71">
        <f>ROUND(L28*V28,2)</f>
        <v>9288.2999999999993</v>
      </c>
      <c r="X28" s="71">
        <f>ROUND(M28*V28,2)</f>
        <v>2502.4299999999998</v>
      </c>
      <c r="Y28" s="71">
        <f>ROUND(N28*V28,2)</f>
        <v>3804.43</v>
      </c>
      <c r="Z28" s="71">
        <f>ROUND(O28*V28,2)</f>
        <v>4882.22</v>
      </c>
      <c r="AA28" s="71">
        <f>ROUND(P28*V28,2)</f>
        <v>10667.79</v>
      </c>
      <c r="AB28" s="71">
        <f>ROUND(Q28*V28,2)</f>
        <v>1437.03</v>
      </c>
      <c r="AC28" s="71">
        <f>ROUND(R28*V28,2)</f>
        <v>0</v>
      </c>
      <c r="AD28" s="71">
        <f>ROUND(S28*V28,2)</f>
        <v>0</v>
      </c>
      <c r="AE28" s="104">
        <f>W28+X28+Y28+Z28+AA28+AB28</f>
        <v>32582.2</v>
      </c>
      <c r="AF28" s="71">
        <v>0</v>
      </c>
    </row>
    <row r="29" spans="1:32">
      <c r="A29" s="72"/>
      <c r="B29" s="72" t="s">
        <v>333</v>
      </c>
      <c r="C29" s="72" t="s">
        <v>193</v>
      </c>
      <c r="D29" s="142" t="s">
        <v>169</v>
      </c>
      <c r="E29" s="73" t="s">
        <v>122</v>
      </c>
      <c r="F29" s="70" t="s">
        <v>7</v>
      </c>
      <c r="G29" s="70"/>
      <c r="H29" s="74"/>
      <c r="I29" s="72" t="s">
        <v>7</v>
      </c>
      <c r="J29" s="72">
        <v>16</v>
      </c>
      <c r="K29" s="72">
        <v>36</v>
      </c>
      <c r="L29" s="75">
        <v>0</v>
      </c>
      <c r="M29" s="75">
        <v>0</v>
      </c>
      <c r="N29" s="75">
        <v>0</v>
      </c>
      <c r="O29" s="75">
        <v>0</v>
      </c>
      <c r="P29" s="75">
        <v>0</v>
      </c>
      <c r="Q29" s="75">
        <v>0</v>
      </c>
      <c r="R29" s="71"/>
      <c r="S29" s="75"/>
      <c r="T29" s="75">
        <v>0</v>
      </c>
      <c r="U29" s="75">
        <v>0</v>
      </c>
      <c r="V29" s="128">
        <v>0.03</v>
      </c>
      <c r="W29" s="71">
        <f>ROUND(L29*V29,2)</f>
        <v>0</v>
      </c>
      <c r="X29" s="71">
        <f>ROUND(M29*V29,2)</f>
        <v>0</v>
      </c>
      <c r="Y29" s="71">
        <f>ROUND(N29*V29,2)</f>
        <v>0</v>
      </c>
      <c r="Z29" s="71">
        <f t="shared" ref="Z29:Z30" si="12">ROUND(O29*V29,2)</f>
        <v>0</v>
      </c>
      <c r="AA29" s="71">
        <f t="shared" ref="AA29:AA30" si="13">ROUND(P29*V29,2)</f>
        <v>0</v>
      </c>
      <c r="AB29" s="71">
        <f t="shared" ref="AB29:AB30" si="14">ROUND(Q29*V29,2)</f>
        <v>0</v>
      </c>
      <c r="AC29" s="71">
        <f>ROUND(R29*V29,2)</f>
        <v>0</v>
      </c>
      <c r="AD29" s="71">
        <f>ROUND(S29*V29,2)</f>
        <v>0</v>
      </c>
      <c r="AE29" s="104">
        <f>W29+X29+Y29+Z29+AA29+AB29</f>
        <v>0</v>
      </c>
      <c r="AF29" s="71">
        <f t="shared" ref="AF29:AF30" si="15">AE29-X29</f>
        <v>0</v>
      </c>
    </row>
    <row r="30" spans="1:32">
      <c r="A30" s="72"/>
      <c r="B30" s="72" t="s">
        <v>262</v>
      </c>
      <c r="C30" s="72" t="s">
        <v>194</v>
      </c>
      <c r="D30" s="142" t="s">
        <v>169</v>
      </c>
      <c r="E30" s="73" t="s">
        <v>122</v>
      </c>
      <c r="F30" s="70" t="s">
        <v>7</v>
      </c>
      <c r="G30" s="70"/>
      <c r="H30" s="74"/>
      <c r="I30" s="72" t="s">
        <v>7</v>
      </c>
      <c r="J30" s="72">
        <v>16</v>
      </c>
      <c r="K30" s="72">
        <v>36</v>
      </c>
      <c r="L30" s="75">
        <v>0</v>
      </c>
      <c r="M30" s="75">
        <v>0</v>
      </c>
      <c r="N30" s="75">
        <v>0</v>
      </c>
      <c r="O30" s="75">
        <v>0</v>
      </c>
      <c r="P30" s="75">
        <v>0</v>
      </c>
      <c r="Q30" s="75">
        <v>0</v>
      </c>
      <c r="R30" s="71"/>
      <c r="S30" s="75"/>
      <c r="T30" s="75">
        <v>0</v>
      </c>
      <c r="U30" s="75">
        <v>0</v>
      </c>
      <c r="V30" s="128">
        <v>0.03</v>
      </c>
      <c r="W30" s="71">
        <f>ROUND(L30*V30,2)</f>
        <v>0</v>
      </c>
      <c r="X30" s="71">
        <f>ROUND(M30*V30,2)</f>
        <v>0</v>
      </c>
      <c r="Y30" s="71">
        <f>ROUND(N30*V30,2)</f>
        <v>0</v>
      </c>
      <c r="Z30" s="71">
        <f t="shared" si="12"/>
        <v>0</v>
      </c>
      <c r="AA30" s="71">
        <f t="shared" si="13"/>
        <v>0</v>
      </c>
      <c r="AB30" s="71">
        <f t="shared" si="14"/>
        <v>0</v>
      </c>
      <c r="AC30" s="71">
        <f>ROUND(R30*V30,2)</f>
        <v>0</v>
      </c>
      <c r="AD30" s="71">
        <f>ROUND(S30*V30,2)</f>
        <v>0</v>
      </c>
      <c r="AE30" s="104">
        <f>W30+X30+Y30+Z30+AA30+AB30</f>
        <v>0</v>
      </c>
      <c r="AF30" s="71">
        <f t="shared" si="15"/>
        <v>0</v>
      </c>
    </row>
    <row r="31" spans="1:32">
      <c r="A31" s="86"/>
      <c r="B31" s="87"/>
      <c r="C31" s="87"/>
      <c r="D31" s="88"/>
      <c r="E31" s="89"/>
      <c r="F31" s="90"/>
      <c r="G31" s="90"/>
      <c r="H31" s="91"/>
      <c r="I31" s="87"/>
      <c r="J31" s="87"/>
      <c r="K31" s="87"/>
      <c r="L31" s="92"/>
      <c r="M31" s="92"/>
      <c r="N31" s="92"/>
      <c r="O31" s="92"/>
      <c r="P31" s="92"/>
      <c r="Q31" s="92"/>
      <c r="R31" s="93"/>
      <c r="S31" s="92"/>
      <c r="T31" s="92"/>
      <c r="U31" s="92"/>
      <c r="V31" s="88"/>
      <c r="W31" s="93"/>
      <c r="X31" s="93">
        <f>SUM(X27:X30)</f>
        <v>2502.4299999999998</v>
      </c>
      <c r="Y31" s="93"/>
      <c r="Z31" s="93"/>
      <c r="AA31" s="93">
        <f>SUM(AA27:AA30)</f>
        <v>10667.79</v>
      </c>
      <c r="AB31" s="93"/>
      <c r="AC31" s="93"/>
      <c r="AD31" s="93"/>
      <c r="AE31" s="105">
        <f>SUM(AE27:AE30)</f>
        <v>32582.2</v>
      </c>
      <c r="AF31" s="105">
        <f>SUM(AF27:AF30)</f>
        <v>0</v>
      </c>
    </row>
    <row r="32" spans="1:32">
      <c r="A32" s="258"/>
      <c r="B32" s="259"/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  <c r="AF32" s="117"/>
    </row>
    <row r="33" spans="1:32">
      <c r="A33" s="31"/>
      <c r="B33" s="32"/>
      <c r="C33" s="32"/>
      <c r="D33" s="32" t="s">
        <v>199</v>
      </c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4"/>
    </row>
    <row r="34" spans="1:32" ht="26.25">
      <c r="A34" s="31" t="s">
        <v>52</v>
      </c>
      <c r="B34" s="31"/>
      <c r="C34" s="31" t="s">
        <v>51</v>
      </c>
      <c r="D34" s="34" t="s">
        <v>90</v>
      </c>
      <c r="E34" s="31" t="s">
        <v>91</v>
      </c>
      <c r="F34" s="35" t="s">
        <v>124</v>
      </c>
      <c r="G34" s="35" t="s">
        <v>176</v>
      </c>
      <c r="H34" s="35" t="s">
        <v>125</v>
      </c>
      <c r="I34" s="31" t="s">
        <v>32</v>
      </c>
      <c r="J34" s="31" t="s">
        <v>167</v>
      </c>
      <c r="K34" s="31" t="s">
        <v>168</v>
      </c>
      <c r="L34" s="36" t="s">
        <v>92</v>
      </c>
      <c r="M34" s="36" t="s">
        <v>93</v>
      </c>
      <c r="N34" s="36" t="s">
        <v>94</v>
      </c>
      <c r="O34" s="36" t="s">
        <v>95</v>
      </c>
      <c r="P34" s="36" t="s">
        <v>96</v>
      </c>
      <c r="Q34" s="36" t="s">
        <v>97</v>
      </c>
      <c r="R34" s="36" t="s">
        <v>98</v>
      </c>
      <c r="S34" s="36" t="s">
        <v>99</v>
      </c>
      <c r="T34" s="36" t="s">
        <v>100</v>
      </c>
      <c r="U34" s="36" t="s">
        <v>101</v>
      </c>
      <c r="V34" s="31" t="s">
        <v>102</v>
      </c>
      <c r="W34" s="36" t="s">
        <v>103</v>
      </c>
      <c r="X34" s="36" t="s">
        <v>104</v>
      </c>
      <c r="Y34" s="36" t="s">
        <v>105</v>
      </c>
      <c r="Z34" s="36" t="s">
        <v>106</v>
      </c>
      <c r="AA34" s="36" t="s">
        <v>107</v>
      </c>
      <c r="AB34" s="36" t="s">
        <v>108</v>
      </c>
      <c r="AC34" s="36" t="s">
        <v>109</v>
      </c>
      <c r="AD34" s="36" t="s">
        <v>110</v>
      </c>
      <c r="AE34" s="69" t="s">
        <v>422</v>
      </c>
      <c r="AF34" s="123" t="s">
        <v>343</v>
      </c>
    </row>
    <row r="35" spans="1:32">
      <c r="A35" s="70"/>
      <c r="B35" s="70" t="s">
        <v>329</v>
      </c>
      <c r="C35" s="70" t="s">
        <v>180</v>
      </c>
      <c r="D35" s="141" t="s">
        <v>169</v>
      </c>
      <c r="E35" s="73" t="s">
        <v>181</v>
      </c>
      <c r="F35" s="70" t="s">
        <v>127</v>
      </c>
      <c r="G35" s="70"/>
      <c r="H35" s="70"/>
      <c r="I35" s="70" t="s">
        <v>3</v>
      </c>
      <c r="J35" s="70">
        <v>26</v>
      </c>
      <c r="K35" s="70">
        <v>75</v>
      </c>
      <c r="L35" s="75">
        <v>0</v>
      </c>
      <c r="M35" s="75">
        <v>0</v>
      </c>
      <c r="N35" s="75">
        <v>0</v>
      </c>
      <c r="O35" s="75">
        <v>0</v>
      </c>
      <c r="P35" s="75">
        <v>0</v>
      </c>
      <c r="Q35" s="75">
        <v>0</v>
      </c>
      <c r="R35" s="71">
        <v>0</v>
      </c>
      <c r="S35" s="71"/>
      <c r="T35" s="75">
        <v>0</v>
      </c>
      <c r="U35" s="71">
        <v>0</v>
      </c>
      <c r="V35" s="128">
        <v>12</v>
      </c>
      <c r="W35" s="71">
        <f>ROUND(L35*V35,2)</f>
        <v>0</v>
      </c>
      <c r="X35" s="71">
        <f>ROUND(M35*V35,2)</f>
        <v>0</v>
      </c>
      <c r="Y35" s="71">
        <f>ROUND(N35*V35,2)</f>
        <v>0</v>
      </c>
      <c r="Z35" s="71">
        <f t="shared" ref="Z35:Z36" si="16">ROUND(O35*V35,2)</f>
        <v>0</v>
      </c>
      <c r="AA35" s="71">
        <f t="shared" ref="AA35:AA36" si="17">ROUND(P35*V35,2)</f>
        <v>0</v>
      </c>
      <c r="AB35" s="71">
        <f t="shared" ref="AB35:AB36" si="18">ROUND(Q35*V35,2)</f>
        <v>0</v>
      </c>
      <c r="AC35" s="71">
        <f>ROUND(R35*V35,2)</f>
        <v>0</v>
      </c>
      <c r="AD35" s="71">
        <f>ROUND(S35*V35,2)</f>
        <v>0</v>
      </c>
      <c r="AE35" s="104">
        <f>W35+X35+Y35+Z35+AA35+AB35</f>
        <v>0</v>
      </c>
      <c r="AF35" s="71">
        <f>AE35-X35</f>
        <v>0</v>
      </c>
    </row>
    <row r="36" spans="1:32">
      <c r="A36" s="72">
        <v>219</v>
      </c>
      <c r="B36" s="72" t="s">
        <v>297</v>
      </c>
      <c r="C36" s="72" t="s">
        <v>184</v>
      </c>
      <c r="D36" s="139" t="s">
        <v>89</v>
      </c>
      <c r="E36" s="73" t="s">
        <v>123</v>
      </c>
      <c r="F36" s="70" t="s">
        <v>127</v>
      </c>
      <c r="G36" s="70">
        <v>9</v>
      </c>
      <c r="H36" s="74">
        <v>46383</v>
      </c>
      <c r="I36" s="72" t="s">
        <v>3</v>
      </c>
      <c r="J36" s="72">
        <v>24</v>
      </c>
      <c r="K36" s="72">
        <v>63</v>
      </c>
      <c r="L36" s="75">
        <f>'TABLA SALARIAL 2024 (23 X 2%)'!D3</f>
        <v>1147.3499999999999</v>
      </c>
      <c r="M36" s="75">
        <f>G36*'TABLA SALARIAL 2024 (23 X 2%)'!E3</f>
        <v>374.84999999999997</v>
      </c>
      <c r="N36" s="75">
        <f t="shared" ref="N36" si="19">ROUND((T36+U36+O36+P36)*2/12,2)</f>
        <v>555.26</v>
      </c>
      <c r="O36" s="75">
        <f>'TABLA SALARIAL 2024 (23 X 2%)'!B15</f>
        <v>697.46</v>
      </c>
      <c r="P36" s="75">
        <f>'TABLA SALARIAL 2024 (23 X 2%)'!G11</f>
        <v>1523.97</v>
      </c>
      <c r="Q36" s="75">
        <f>'TABLA SALARIAL 2024 (23 X 2%)'!D5</f>
        <v>167.76</v>
      </c>
      <c r="R36" s="71"/>
      <c r="S36" s="75">
        <v>248.63</v>
      </c>
      <c r="T36" s="75">
        <f>'TABLA SALARIAL 2024 (23 X 2%)'!D4</f>
        <v>836.78</v>
      </c>
      <c r="U36" s="75">
        <f>G36*'TABLA SALARIAL 2024 (23 X 2%)'!E4</f>
        <v>273.33</v>
      </c>
      <c r="V36" s="76">
        <v>7</v>
      </c>
      <c r="W36" s="71">
        <f>ROUND(L36*V36,2)</f>
        <v>8031.45</v>
      </c>
      <c r="X36" s="71">
        <f>ROUND(M36*V36,2)</f>
        <v>2623.95</v>
      </c>
      <c r="Y36" s="71">
        <f>ROUND(N36*V36,2)</f>
        <v>3886.82</v>
      </c>
      <c r="Z36" s="71">
        <f t="shared" si="16"/>
        <v>4882.22</v>
      </c>
      <c r="AA36" s="71">
        <f t="shared" si="17"/>
        <v>10667.79</v>
      </c>
      <c r="AB36" s="71">
        <f t="shared" si="18"/>
        <v>1174.32</v>
      </c>
      <c r="AC36" s="71">
        <f>ROUND(R36*V36,2)</f>
        <v>0</v>
      </c>
      <c r="AD36" s="71">
        <f>ROUND(S36*V36,2)</f>
        <v>1740.41</v>
      </c>
      <c r="AE36" s="104">
        <f>W36+X36+Y36+Z36+AA36+AB36+AD36</f>
        <v>33006.959999999999</v>
      </c>
      <c r="AF36" s="71">
        <v>0</v>
      </c>
    </row>
    <row r="37" spans="1:32">
      <c r="A37" s="72">
        <v>57</v>
      </c>
      <c r="B37" s="70" t="s">
        <v>268</v>
      </c>
      <c r="C37" s="72" t="s">
        <v>175</v>
      </c>
      <c r="D37" s="135" t="s">
        <v>62</v>
      </c>
      <c r="E37" s="73" t="s">
        <v>117</v>
      </c>
      <c r="F37" s="70" t="s">
        <v>11</v>
      </c>
      <c r="G37" s="70">
        <v>8</v>
      </c>
      <c r="H37" s="74">
        <v>46421</v>
      </c>
      <c r="I37" s="72" t="s">
        <v>11</v>
      </c>
      <c r="J37" s="72">
        <v>22</v>
      </c>
      <c r="K37" s="72">
        <v>57</v>
      </c>
      <c r="L37" s="75">
        <f>'TABLA SALARIAL 2024 (23 X 2%)'!B3</f>
        <v>1326.9</v>
      </c>
      <c r="M37" s="75">
        <f>G37*'TABLA SALARIAL 2024 (23 X 2%)'!C3</f>
        <v>408.56</v>
      </c>
      <c r="N37" s="75">
        <f>ROUND((T37+U37+O37+P37)*2/12,2)</f>
        <v>509.98</v>
      </c>
      <c r="O37" s="75">
        <f>'TABLA SALARIAL 2024 (23 X 2%)'!B17</f>
        <v>610</v>
      </c>
      <c r="P37" s="75">
        <f>'TABLA SALARIAL 2024 (23 X 2%)'!G12</f>
        <v>1378.8300000000002</v>
      </c>
      <c r="Q37" s="75">
        <f>'TABLA SALARIAL 2024 (23 X 2%)'!B5</f>
        <v>205.29</v>
      </c>
      <c r="R37" s="71"/>
      <c r="S37" s="71"/>
      <c r="T37" s="75">
        <f>'TABLA SALARIAL 2024 (23 X 2%)'!B4</f>
        <v>818.82</v>
      </c>
      <c r="U37" s="71">
        <f>G37*'TABLA SALARIAL 2024 (23 X 2%)'!C4</f>
        <v>252.24</v>
      </c>
      <c r="V37" s="76">
        <v>7</v>
      </c>
      <c r="W37" s="71">
        <f>ROUND(L37*V37,2)</f>
        <v>9288.2999999999993</v>
      </c>
      <c r="X37" s="71">
        <f>ROUND(M37*V37,2)+10*50.83</f>
        <v>3368.2200000000003</v>
      </c>
      <c r="Y37" s="71">
        <f>ROUND(N37*V37,2)</f>
        <v>3569.86</v>
      </c>
      <c r="Z37" s="71">
        <f>ROUND(O37*V37,2)</f>
        <v>4270</v>
      </c>
      <c r="AA37" s="71">
        <f>ROUND(P37*V37,2)</f>
        <v>9651.81</v>
      </c>
      <c r="AB37" s="71">
        <f>ROUND(Q37*V37,2)</f>
        <v>1437.03</v>
      </c>
      <c r="AC37" s="71">
        <f>ROUND(R37*V37,2)</f>
        <v>0</v>
      </c>
      <c r="AD37" s="71">
        <f>ROUND(S37*V37,2)</f>
        <v>0</v>
      </c>
      <c r="AE37" s="104">
        <f>W37+X37+Y37+Z37+AA37+AB37</f>
        <v>31585.22</v>
      </c>
      <c r="AF37" s="71">
        <v>0</v>
      </c>
    </row>
    <row r="38" spans="1:32">
      <c r="A38" s="70">
        <v>8</v>
      </c>
      <c r="B38" s="70" t="s">
        <v>244</v>
      </c>
      <c r="C38" s="70" t="s">
        <v>178</v>
      </c>
      <c r="D38" s="85" t="s">
        <v>53</v>
      </c>
      <c r="E38" s="73" t="s">
        <v>179</v>
      </c>
      <c r="F38" s="70" t="s">
        <v>183</v>
      </c>
      <c r="G38" s="70">
        <v>9</v>
      </c>
      <c r="H38" s="79">
        <v>46119</v>
      </c>
      <c r="I38" s="70" t="s">
        <v>0</v>
      </c>
      <c r="J38" s="70">
        <v>18</v>
      </c>
      <c r="K38" s="70">
        <v>37</v>
      </c>
      <c r="L38" s="75">
        <f>'TABLA SALARIAL 2024 (23 X 2%)'!H3</f>
        <v>716.98</v>
      </c>
      <c r="M38" s="71">
        <f>G38*'TABLA SALARIAL 2024 (23 X 2%)'!I3</f>
        <v>193.14000000000001</v>
      </c>
      <c r="N38" s="75">
        <f t="shared" ref="N38" si="20">ROUND((T38+U38+O38+P38)*2/12,2)</f>
        <v>378.17</v>
      </c>
      <c r="O38" s="75">
        <f>'TABLA SALARIAL 2024 (23 X 2%)'!B21</f>
        <v>472.37</v>
      </c>
      <c r="P38" s="75">
        <f>'TABLA SALARIAL 2024 (23 X 2%)'!G18</f>
        <v>895.03000000000009</v>
      </c>
      <c r="Q38" s="75">
        <f>'TABLA SALARIAL 2024 (23 X 2%)'!H5</f>
        <v>114.02</v>
      </c>
      <c r="R38" s="71"/>
      <c r="S38" s="71"/>
      <c r="T38" s="75">
        <f>'TABLA SALARIAL 2024 (23 X 2%)'!H4</f>
        <v>710.44</v>
      </c>
      <c r="U38" s="71">
        <f>G38*'TABLA SALARIAL 2024 (23 X 2%)'!I4</f>
        <v>191.16</v>
      </c>
      <c r="V38" s="76">
        <v>7</v>
      </c>
      <c r="W38" s="71">
        <f>ROUND(L38*V38,2)</f>
        <v>5018.8599999999997</v>
      </c>
      <c r="X38" s="71">
        <f>ROUND(M38*V38,2)</f>
        <v>1351.98</v>
      </c>
      <c r="Y38" s="71">
        <f>ROUND(N38*V38,2)</f>
        <v>2647.19</v>
      </c>
      <c r="Z38" s="71">
        <f t="shared" ref="Z38" si="21">ROUND(O38*V38,2)</f>
        <v>3306.59</v>
      </c>
      <c r="AA38" s="71">
        <f t="shared" ref="AA38" si="22">ROUND(P38*V38,2)</f>
        <v>6265.21</v>
      </c>
      <c r="AB38" s="71">
        <f t="shared" ref="AB38" si="23">ROUND(Q38*V38,2)</f>
        <v>798.14</v>
      </c>
      <c r="AC38" s="71">
        <f>ROUND(R38*V38,2)</f>
        <v>0</v>
      </c>
      <c r="AD38" s="71">
        <f>ROUND(S38*V38,2)</f>
        <v>0</v>
      </c>
      <c r="AE38" s="104">
        <f>W38+X38+Y38+Z38+AA38+AB38</f>
        <v>19387.97</v>
      </c>
      <c r="AF38" s="71">
        <v>0</v>
      </c>
    </row>
    <row r="39" spans="1:32">
      <c r="A39" s="95"/>
      <c r="B39" s="90"/>
      <c r="C39" s="90"/>
      <c r="D39" s="89"/>
      <c r="E39" s="89"/>
      <c r="F39" s="90"/>
      <c r="G39" s="90"/>
      <c r="H39" s="96"/>
      <c r="I39" s="90"/>
      <c r="J39" s="90"/>
      <c r="K39" s="90"/>
      <c r="L39" s="92"/>
      <c r="M39" s="93"/>
      <c r="N39" s="92"/>
      <c r="O39" s="92"/>
      <c r="P39" s="92"/>
      <c r="Q39" s="92"/>
      <c r="R39" s="93"/>
      <c r="S39" s="93"/>
      <c r="T39" s="92"/>
      <c r="U39" s="93"/>
      <c r="V39" s="88"/>
      <c r="W39" s="93"/>
      <c r="X39" s="93">
        <f>SUM(X35:X38)</f>
        <v>7344.15</v>
      </c>
      <c r="Y39" s="93"/>
      <c r="Z39" s="93">
        <f>SUM(Z35:Z38)</f>
        <v>12458.810000000001</v>
      </c>
      <c r="AA39" s="93">
        <f>SUM(AA35:AA38)</f>
        <v>26584.809999999998</v>
      </c>
      <c r="AB39" s="93">
        <f>SUM(AB35:AB38)</f>
        <v>3409.49</v>
      </c>
      <c r="AC39" s="93"/>
      <c r="AD39" s="93"/>
      <c r="AE39" s="105">
        <f>SUM(AE35:AE38)</f>
        <v>83980.15</v>
      </c>
      <c r="AF39" s="105">
        <f>SUM(AF35:AF38)</f>
        <v>0</v>
      </c>
    </row>
    <row r="40" spans="1:32">
      <c r="A40" s="260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118"/>
    </row>
    <row r="41" spans="1:32">
      <c r="A41" s="37"/>
      <c r="B41" s="38"/>
      <c r="C41" s="38"/>
      <c r="D41" s="38" t="s">
        <v>202</v>
      </c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40"/>
    </row>
    <row r="42" spans="1:32" ht="26.25">
      <c r="A42" s="37" t="s">
        <v>52</v>
      </c>
      <c r="B42" s="37"/>
      <c r="C42" s="37" t="s">
        <v>51</v>
      </c>
      <c r="D42" s="40" t="s">
        <v>90</v>
      </c>
      <c r="E42" s="37" t="s">
        <v>91</v>
      </c>
      <c r="F42" s="2" t="s">
        <v>124</v>
      </c>
      <c r="G42" s="2" t="s">
        <v>176</v>
      </c>
      <c r="H42" s="2" t="s">
        <v>125</v>
      </c>
      <c r="I42" s="37" t="s">
        <v>32</v>
      </c>
      <c r="J42" s="37" t="s">
        <v>167</v>
      </c>
      <c r="K42" s="37" t="s">
        <v>168</v>
      </c>
      <c r="L42" s="3" t="s">
        <v>92</v>
      </c>
      <c r="M42" s="3" t="s">
        <v>93</v>
      </c>
      <c r="N42" s="3" t="s">
        <v>94</v>
      </c>
      <c r="O42" s="3" t="s">
        <v>95</v>
      </c>
      <c r="P42" s="3" t="s">
        <v>96</v>
      </c>
      <c r="Q42" s="3" t="s">
        <v>97</v>
      </c>
      <c r="R42" s="3" t="s">
        <v>98</v>
      </c>
      <c r="S42" s="3" t="s">
        <v>99</v>
      </c>
      <c r="T42" s="3" t="s">
        <v>100</v>
      </c>
      <c r="U42" s="3" t="s">
        <v>101</v>
      </c>
      <c r="V42" s="37" t="s">
        <v>102</v>
      </c>
      <c r="W42" s="3" t="s">
        <v>103</v>
      </c>
      <c r="X42" s="3" t="s">
        <v>104</v>
      </c>
      <c r="Y42" s="3" t="s">
        <v>105</v>
      </c>
      <c r="Z42" s="3" t="s">
        <v>106</v>
      </c>
      <c r="AA42" s="3" t="s">
        <v>107</v>
      </c>
      <c r="AB42" s="3" t="s">
        <v>108</v>
      </c>
      <c r="AC42" s="3" t="s">
        <v>109</v>
      </c>
      <c r="AD42" s="3" t="s">
        <v>110</v>
      </c>
      <c r="AE42" s="69" t="s">
        <v>422</v>
      </c>
      <c r="AF42" s="125" t="s">
        <v>343</v>
      </c>
    </row>
    <row r="43" spans="1:32">
      <c r="A43" s="72">
        <v>108</v>
      </c>
      <c r="B43" s="72" t="s">
        <v>279</v>
      </c>
      <c r="C43" s="72" t="s">
        <v>28</v>
      </c>
      <c r="D43" s="139" t="s">
        <v>72</v>
      </c>
      <c r="E43" s="73" t="s">
        <v>242</v>
      </c>
      <c r="F43" s="70" t="s">
        <v>127</v>
      </c>
      <c r="G43" s="70">
        <v>9</v>
      </c>
      <c r="H43" s="74">
        <v>46359</v>
      </c>
      <c r="I43" s="72" t="s">
        <v>3</v>
      </c>
      <c r="J43" s="72">
        <v>26</v>
      </c>
      <c r="K43" s="72">
        <v>75</v>
      </c>
      <c r="L43" s="75">
        <f>'TABLA SALARIAL 2024 (23 X 2%)'!D3</f>
        <v>1147.3499999999999</v>
      </c>
      <c r="M43" s="75">
        <f>G43*'TABLA SALARIAL 2024 (23 X 2%)'!E3</f>
        <v>374.84999999999997</v>
      </c>
      <c r="N43" s="75">
        <f>ROUND((T43+U43+O43+P43)*2/12,2)</f>
        <v>626.62</v>
      </c>
      <c r="O43" s="75">
        <f>'TABLA SALARIAL 2024 (23 X 2%)'!B13</f>
        <v>835.38</v>
      </c>
      <c r="P43" s="75">
        <f>'TABLA SALARIAL 2024 (23 X 2%)'!G10</f>
        <v>1814.25</v>
      </c>
      <c r="Q43" s="75">
        <f>'TABLA SALARIAL 2024 (23 X 2%)'!D5</f>
        <v>167.76</v>
      </c>
      <c r="R43" s="71"/>
      <c r="S43" s="71"/>
      <c r="T43" s="75">
        <f>'TABLA SALARIAL 2024 (23 X 2%)'!D4</f>
        <v>836.78</v>
      </c>
      <c r="U43" s="71">
        <f>G43*'TABLA SALARIAL 2024 (23 X 2%)'!E4</f>
        <v>273.33</v>
      </c>
      <c r="V43" s="80">
        <v>7</v>
      </c>
      <c r="W43" s="71">
        <f t="shared" ref="W43:W48" si="24">ROUND(L43*V43,2)</f>
        <v>8031.45</v>
      </c>
      <c r="X43" s="71">
        <f t="shared" ref="X43:X48" si="25">ROUND(M43*V43,2)</f>
        <v>2623.95</v>
      </c>
      <c r="Y43" s="71">
        <f t="shared" ref="Y43:Y48" si="26">ROUND(N43*V43,2)</f>
        <v>4386.34</v>
      </c>
      <c r="Z43" s="71">
        <f>ROUND(O43*V43,2)</f>
        <v>5847.66</v>
      </c>
      <c r="AA43" s="71">
        <f>ROUND(P43*V43,2)</f>
        <v>12699.75</v>
      </c>
      <c r="AB43" s="71">
        <f>ROUND(Q43*V43,2)</f>
        <v>1174.32</v>
      </c>
      <c r="AC43" s="71">
        <f t="shared" ref="AC43:AC48" si="27">ROUND(R43*V43,2)</f>
        <v>0</v>
      </c>
      <c r="AD43" s="71">
        <f t="shared" ref="AD43:AD48" si="28">ROUND(S43*V43,2)</f>
        <v>0</v>
      </c>
      <c r="AE43" s="104">
        <f t="shared" ref="AE43:AE48" si="29">W43+X43+Y43+Z43+AA43+AB43</f>
        <v>34763.47</v>
      </c>
      <c r="AF43" s="71">
        <v>0</v>
      </c>
    </row>
    <row r="44" spans="1:32">
      <c r="A44" s="81"/>
      <c r="B44" s="82" t="s">
        <v>257</v>
      </c>
      <c r="C44" s="70" t="s">
        <v>161</v>
      </c>
      <c r="D44" s="140" t="s">
        <v>169</v>
      </c>
      <c r="E44" s="73" t="s">
        <v>166</v>
      </c>
      <c r="F44" s="70" t="s">
        <v>3</v>
      </c>
      <c r="G44" s="70"/>
      <c r="H44" s="70"/>
      <c r="I44" s="70" t="s">
        <v>3</v>
      </c>
      <c r="J44" s="70">
        <v>22</v>
      </c>
      <c r="K44" s="70">
        <v>51</v>
      </c>
      <c r="L44" s="71">
        <v>0</v>
      </c>
      <c r="M44" s="71">
        <v>0</v>
      </c>
      <c r="N44" s="75">
        <v>0</v>
      </c>
      <c r="O44" s="71">
        <v>0</v>
      </c>
      <c r="P44" s="75">
        <v>0</v>
      </c>
      <c r="Q44" s="71">
        <v>0</v>
      </c>
      <c r="R44" s="71"/>
      <c r="S44" s="71"/>
      <c r="T44" s="71">
        <v>0</v>
      </c>
      <c r="U44" s="71">
        <v>0</v>
      </c>
      <c r="V44" s="128">
        <v>0.03</v>
      </c>
      <c r="W44" s="71">
        <f t="shared" si="24"/>
        <v>0</v>
      </c>
      <c r="X44" s="71">
        <f t="shared" si="25"/>
        <v>0</v>
      </c>
      <c r="Y44" s="71">
        <f t="shared" si="26"/>
        <v>0</v>
      </c>
      <c r="Z44" s="71">
        <f t="shared" ref="Z44:Z48" si="30">ROUND(O44*V44,2)</f>
        <v>0</v>
      </c>
      <c r="AA44" s="71">
        <f t="shared" ref="AA44:AA48" si="31">ROUND(P44*V44,2)</f>
        <v>0</v>
      </c>
      <c r="AB44" s="71">
        <f t="shared" ref="AB44:AB48" si="32">ROUND(Q44*V44,2)</f>
        <v>0</v>
      </c>
      <c r="AC44" s="71">
        <f t="shared" si="27"/>
        <v>0</v>
      </c>
      <c r="AD44" s="71">
        <f t="shared" si="28"/>
        <v>0</v>
      </c>
      <c r="AE44" s="104">
        <f t="shared" si="29"/>
        <v>0</v>
      </c>
      <c r="AF44" s="71">
        <f t="shared" ref="AF44:AF48" si="33">AE44-X44</f>
        <v>0</v>
      </c>
    </row>
    <row r="45" spans="1:32">
      <c r="A45" s="81"/>
      <c r="B45" s="82" t="s">
        <v>260</v>
      </c>
      <c r="C45" s="70" t="s">
        <v>14</v>
      </c>
      <c r="D45" s="140" t="s">
        <v>169</v>
      </c>
      <c r="E45" s="73" t="s">
        <v>195</v>
      </c>
      <c r="F45" s="70" t="s">
        <v>3</v>
      </c>
      <c r="G45" s="70"/>
      <c r="H45" s="70"/>
      <c r="I45" s="70" t="s">
        <v>3</v>
      </c>
      <c r="J45" s="70">
        <v>22</v>
      </c>
      <c r="K45" s="70">
        <v>51</v>
      </c>
      <c r="L45" s="71">
        <v>0</v>
      </c>
      <c r="M45" s="71">
        <v>0</v>
      </c>
      <c r="N45" s="75">
        <v>0</v>
      </c>
      <c r="O45" s="71">
        <v>0</v>
      </c>
      <c r="P45" s="75">
        <v>0</v>
      </c>
      <c r="Q45" s="71">
        <v>0</v>
      </c>
      <c r="R45" s="71"/>
      <c r="S45" s="71"/>
      <c r="T45" s="71">
        <v>0</v>
      </c>
      <c r="U45" s="71">
        <v>0</v>
      </c>
      <c r="V45" s="128">
        <v>12</v>
      </c>
      <c r="W45" s="71">
        <f t="shared" si="24"/>
        <v>0</v>
      </c>
      <c r="X45" s="71">
        <f t="shared" si="25"/>
        <v>0</v>
      </c>
      <c r="Y45" s="71">
        <f t="shared" si="26"/>
        <v>0</v>
      </c>
      <c r="Z45" s="71">
        <f t="shared" si="30"/>
        <v>0</v>
      </c>
      <c r="AA45" s="71">
        <f t="shared" si="31"/>
        <v>0</v>
      </c>
      <c r="AB45" s="71">
        <f t="shared" si="32"/>
        <v>0</v>
      </c>
      <c r="AC45" s="71">
        <f t="shared" si="27"/>
        <v>0</v>
      </c>
      <c r="AD45" s="71">
        <f t="shared" si="28"/>
        <v>0</v>
      </c>
      <c r="AE45" s="104">
        <f t="shared" si="29"/>
        <v>0</v>
      </c>
      <c r="AF45" s="71">
        <f t="shared" si="33"/>
        <v>0</v>
      </c>
    </row>
    <row r="46" spans="1:32">
      <c r="A46" s="82">
        <v>56</v>
      </c>
      <c r="B46" s="72" t="s">
        <v>265</v>
      </c>
      <c r="C46" s="70" t="s">
        <v>5</v>
      </c>
      <c r="D46" s="85" t="s">
        <v>61</v>
      </c>
      <c r="E46" s="73" t="s">
        <v>113</v>
      </c>
      <c r="F46" s="70" t="s">
        <v>0</v>
      </c>
      <c r="G46" s="70">
        <v>8</v>
      </c>
      <c r="H46" s="79">
        <v>46089</v>
      </c>
      <c r="I46" s="70" t="s">
        <v>0</v>
      </c>
      <c r="J46" s="70">
        <v>16</v>
      </c>
      <c r="K46" s="70">
        <v>37</v>
      </c>
      <c r="L46" s="71">
        <f>'TABLA SALARIAL 2024 (23 X 2%)'!H3</f>
        <v>716.98</v>
      </c>
      <c r="M46" s="71">
        <f>G46*'TABLA SALARIAL 2024 (23 X 2%)'!I3</f>
        <v>171.68</v>
      </c>
      <c r="N46" s="75">
        <f t="shared" ref="N46:N48" si="34">ROUND((T46+U46+O46+P46)*2/12,2)</f>
        <v>365.68</v>
      </c>
      <c r="O46" s="71">
        <f>'TABLA SALARIAL 2024 (23 X 2%)'!B23</f>
        <v>418.69</v>
      </c>
      <c r="P46" s="75">
        <f>'TABLA SALARIAL 2024 (23 X 2%)'!G18</f>
        <v>895.03000000000009</v>
      </c>
      <c r="Q46" s="71">
        <f>'TABLA SALARIAL 2024 (23 X 2%)'!H5</f>
        <v>114.02</v>
      </c>
      <c r="R46" s="71"/>
      <c r="S46" s="71"/>
      <c r="T46" s="71">
        <f>'TABLA SALARIAL 2024 (23 X 2%)'!H4</f>
        <v>710.44</v>
      </c>
      <c r="U46" s="71">
        <f>G46*'TABLA SALARIAL 2024 (23 X 2%)'!I4</f>
        <v>169.92</v>
      </c>
      <c r="V46" s="76">
        <v>7</v>
      </c>
      <c r="W46" s="71">
        <f t="shared" si="24"/>
        <v>5018.8599999999997</v>
      </c>
      <c r="X46" s="71">
        <f t="shared" si="25"/>
        <v>1201.76</v>
      </c>
      <c r="Y46" s="71">
        <f t="shared" si="26"/>
        <v>2559.7600000000002</v>
      </c>
      <c r="Z46" s="71">
        <f t="shared" si="30"/>
        <v>2930.83</v>
      </c>
      <c r="AA46" s="71">
        <f t="shared" si="31"/>
        <v>6265.21</v>
      </c>
      <c r="AB46" s="71">
        <f t="shared" si="32"/>
        <v>798.14</v>
      </c>
      <c r="AC46" s="71">
        <f t="shared" si="27"/>
        <v>0</v>
      </c>
      <c r="AD46" s="71">
        <f t="shared" si="28"/>
        <v>0</v>
      </c>
      <c r="AE46" s="104">
        <f t="shared" si="29"/>
        <v>18774.560000000001</v>
      </c>
      <c r="AF46" s="71">
        <v>0</v>
      </c>
    </row>
    <row r="47" spans="1:32">
      <c r="A47" s="82">
        <v>37</v>
      </c>
      <c r="B47" s="82" t="s">
        <v>246</v>
      </c>
      <c r="C47" s="70" t="s">
        <v>6</v>
      </c>
      <c r="D47" s="85" t="s">
        <v>197</v>
      </c>
      <c r="E47" s="73" t="s">
        <v>113</v>
      </c>
      <c r="F47" s="70" t="s">
        <v>0</v>
      </c>
      <c r="G47" s="207">
        <f>'trienios 2025'!F6</f>
        <v>12</v>
      </c>
      <c r="H47" s="79">
        <v>45839</v>
      </c>
      <c r="I47" s="70" t="s">
        <v>0</v>
      </c>
      <c r="J47" s="70">
        <v>16</v>
      </c>
      <c r="K47" s="70">
        <v>37</v>
      </c>
      <c r="L47" s="71">
        <f>'TABLA SALARIAL 2024 (23 X 2%)'!H3</f>
        <v>716.98</v>
      </c>
      <c r="M47" s="71">
        <f>G47*'TABLA SALARIAL 2024 (23 X 2%)'!I3</f>
        <v>257.52</v>
      </c>
      <c r="N47" s="75">
        <f t="shared" si="34"/>
        <v>379.84</v>
      </c>
      <c r="O47" s="71">
        <f>'TABLA SALARIAL 2024 (23 X 2%)'!B23</f>
        <v>418.69</v>
      </c>
      <c r="P47" s="75">
        <f>'TABLA SALARIAL 2024 (23 X 2%)'!G18</f>
        <v>895.03000000000009</v>
      </c>
      <c r="Q47" s="71">
        <f>'TABLA SALARIAL 2024 (23 X 2%)'!H5</f>
        <v>114.02</v>
      </c>
      <c r="R47" s="71"/>
      <c r="S47" s="71"/>
      <c r="T47" s="71">
        <f>'TABLA SALARIAL 2024 (23 X 2%)'!H4</f>
        <v>710.44</v>
      </c>
      <c r="U47" s="71">
        <f>G47*'TABLA SALARIAL 2024 (23 X 2%)'!I4</f>
        <v>254.88</v>
      </c>
      <c r="V47" s="76">
        <v>7</v>
      </c>
      <c r="W47" s="71">
        <f t="shared" si="24"/>
        <v>5018.8599999999997</v>
      </c>
      <c r="X47" s="71">
        <f t="shared" si="25"/>
        <v>1802.64</v>
      </c>
      <c r="Y47" s="71">
        <f t="shared" si="26"/>
        <v>2658.88</v>
      </c>
      <c r="Z47" s="71">
        <f t="shared" si="30"/>
        <v>2930.83</v>
      </c>
      <c r="AA47" s="71">
        <f t="shared" si="31"/>
        <v>6265.21</v>
      </c>
      <c r="AB47" s="71">
        <f t="shared" si="32"/>
        <v>798.14</v>
      </c>
      <c r="AC47" s="71">
        <f t="shared" si="27"/>
        <v>0</v>
      </c>
      <c r="AD47" s="71">
        <f t="shared" si="28"/>
        <v>0</v>
      </c>
      <c r="AE47" s="104">
        <f t="shared" si="29"/>
        <v>19474.560000000001</v>
      </c>
      <c r="AF47" s="71">
        <v>0</v>
      </c>
    </row>
    <row r="48" spans="1:32">
      <c r="A48" s="82"/>
      <c r="B48" s="82" t="s">
        <v>331</v>
      </c>
      <c r="C48" s="70" t="s">
        <v>196</v>
      </c>
      <c r="D48" s="140" t="s">
        <v>169</v>
      </c>
      <c r="E48" s="73" t="s">
        <v>113</v>
      </c>
      <c r="F48" s="70" t="s">
        <v>0</v>
      </c>
      <c r="G48" s="70"/>
      <c r="H48" s="70"/>
      <c r="I48" s="70" t="s">
        <v>0</v>
      </c>
      <c r="J48" s="70">
        <v>16</v>
      </c>
      <c r="K48" s="70">
        <v>37</v>
      </c>
      <c r="L48" s="71">
        <v>0</v>
      </c>
      <c r="M48" s="71">
        <v>0</v>
      </c>
      <c r="N48" s="75">
        <f t="shared" si="34"/>
        <v>0</v>
      </c>
      <c r="O48" s="71">
        <v>0</v>
      </c>
      <c r="P48" s="75">
        <v>0</v>
      </c>
      <c r="Q48" s="71">
        <v>0</v>
      </c>
      <c r="R48" s="71"/>
      <c r="S48" s="71"/>
      <c r="T48" s="71">
        <v>0</v>
      </c>
      <c r="U48" s="71">
        <v>0</v>
      </c>
      <c r="V48" s="128">
        <v>0.03</v>
      </c>
      <c r="W48" s="71">
        <f t="shared" si="24"/>
        <v>0</v>
      </c>
      <c r="X48" s="71">
        <f t="shared" si="25"/>
        <v>0</v>
      </c>
      <c r="Y48" s="71">
        <f t="shared" si="26"/>
        <v>0</v>
      </c>
      <c r="Z48" s="71">
        <f t="shared" si="30"/>
        <v>0</v>
      </c>
      <c r="AA48" s="71">
        <f t="shared" si="31"/>
        <v>0</v>
      </c>
      <c r="AB48" s="71">
        <f t="shared" si="32"/>
        <v>0</v>
      </c>
      <c r="AC48" s="71">
        <f t="shared" si="27"/>
        <v>0</v>
      </c>
      <c r="AD48" s="71">
        <f t="shared" si="28"/>
        <v>0</v>
      </c>
      <c r="AE48" s="104">
        <f t="shared" si="29"/>
        <v>0</v>
      </c>
      <c r="AF48" s="71">
        <f t="shared" si="33"/>
        <v>0</v>
      </c>
    </row>
    <row r="49" spans="1:32">
      <c r="A49" s="97"/>
      <c r="B49" s="98"/>
      <c r="C49" s="90"/>
      <c r="D49" s="89"/>
      <c r="E49" s="89"/>
      <c r="F49" s="90"/>
      <c r="G49" s="90"/>
      <c r="H49" s="90"/>
      <c r="I49" s="90"/>
      <c r="J49" s="90"/>
      <c r="K49" s="90"/>
      <c r="L49" s="93"/>
      <c r="M49" s="93"/>
      <c r="N49" s="92"/>
      <c r="O49" s="93"/>
      <c r="P49" s="92"/>
      <c r="Q49" s="93"/>
      <c r="R49" s="93"/>
      <c r="S49" s="93"/>
      <c r="T49" s="93"/>
      <c r="U49" s="93"/>
      <c r="V49" s="88"/>
      <c r="W49" s="93"/>
      <c r="X49" s="93">
        <f>SUM(X43:X48)</f>
        <v>5628.35</v>
      </c>
      <c r="Y49" s="93"/>
      <c r="Z49" s="93"/>
      <c r="AA49" s="93">
        <f>SUM(AA43:AA48)</f>
        <v>25230.17</v>
      </c>
      <c r="AB49" s="93"/>
      <c r="AC49" s="93"/>
      <c r="AD49" s="93"/>
      <c r="AE49" s="105">
        <f>SUM(AE43:AE48)</f>
        <v>73012.59</v>
      </c>
      <c r="AF49" s="105">
        <f>SUM(AF43:AF48)</f>
        <v>0</v>
      </c>
    </row>
    <row r="50" spans="1:32">
      <c r="A50" s="262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  <c r="P50" s="263"/>
      <c r="Q50" s="263"/>
      <c r="R50" s="263"/>
      <c r="S50" s="263"/>
      <c r="T50" s="263"/>
      <c r="U50" s="263"/>
      <c r="V50" s="263"/>
      <c r="W50" s="263"/>
      <c r="X50" s="263"/>
      <c r="Y50" s="263"/>
      <c r="Z50" s="263"/>
      <c r="AA50" s="263"/>
      <c r="AB50" s="263"/>
      <c r="AC50" s="263"/>
      <c r="AD50" s="263"/>
      <c r="AE50" s="263"/>
      <c r="AF50" s="114"/>
    </row>
    <row r="51" spans="1:32">
      <c r="A51" s="41"/>
      <c r="B51" s="42"/>
      <c r="C51" s="42"/>
      <c r="D51" s="42" t="s">
        <v>201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4"/>
    </row>
    <row r="52" spans="1:32" ht="26.25">
      <c r="A52" s="41" t="s">
        <v>52</v>
      </c>
      <c r="B52" s="41"/>
      <c r="C52" s="41" t="s">
        <v>51</v>
      </c>
      <c r="D52" s="44" t="s">
        <v>90</v>
      </c>
      <c r="E52" s="41" t="s">
        <v>91</v>
      </c>
      <c r="F52" s="45" t="s">
        <v>124</v>
      </c>
      <c r="G52" s="45" t="s">
        <v>176</v>
      </c>
      <c r="H52" s="45" t="s">
        <v>125</v>
      </c>
      <c r="I52" s="41" t="s">
        <v>32</v>
      </c>
      <c r="J52" s="41" t="s">
        <v>167</v>
      </c>
      <c r="K52" s="41" t="s">
        <v>168</v>
      </c>
      <c r="L52" s="46" t="s">
        <v>92</v>
      </c>
      <c r="M52" s="46" t="s">
        <v>93</v>
      </c>
      <c r="N52" s="46" t="s">
        <v>94</v>
      </c>
      <c r="O52" s="46" t="s">
        <v>95</v>
      </c>
      <c r="P52" s="46" t="s">
        <v>96</v>
      </c>
      <c r="Q52" s="46" t="s">
        <v>97</v>
      </c>
      <c r="R52" s="46" t="s">
        <v>98</v>
      </c>
      <c r="S52" s="46" t="s">
        <v>99</v>
      </c>
      <c r="T52" s="46" t="s">
        <v>100</v>
      </c>
      <c r="U52" s="46" t="s">
        <v>101</v>
      </c>
      <c r="V52" s="41" t="s">
        <v>102</v>
      </c>
      <c r="W52" s="46" t="s">
        <v>103</v>
      </c>
      <c r="X52" s="46" t="s">
        <v>104</v>
      </c>
      <c r="Y52" s="46" t="s">
        <v>105</v>
      </c>
      <c r="Z52" s="46" t="s">
        <v>106</v>
      </c>
      <c r="AA52" s="46" t="s">
        <v>107</v>
      </c>
      <c r="AB52" s="46" t="s">
        <v>108</v>
      </c>
      <c r="AC52" s="46" t="s">
        <v>109</v>
      </c>
      <c r="AD52" s="46" t="s">
        <v>110</v>
      </c>
      <c r="AE52" s="69" t="s">
        <v>422</v>
      </c>
      <c r="AF52" s="126" t="s">
        <v>343</v>
      </c>
    </row>
    <row r="53" spans="1:32">
      <c r="A53" s="70">
        <v>261</v>
      </c>
      <c r="B53" s="70" t="s">
        <v>321</v>
      </c>
      <c r="C53" s="70" t="s">
        <v>131</v>
      </c>
      <c r="D53" s="196" t="s">
        <v>430</v>
      </c>
      <c r="E53" s="73" t="s">
        <v>163</v>
      </c>
      <c r="F53" s="70" t="s">
        <v>126</v>
      </c>
      <c r="G53" s="70">
        <f>'trienios 2025'!F7</f>
        <v>9</v>
      </c>
      <c r="H53" s="79">
        <v>45697</v>
      </c>
      <c r="I53" s="70" t="s">
        <v>7</v>
      </c>
      <c r="J53" s="70">
        <v>22</v>
      </c>
      <c r="K53" s="70">
        <v>52</v>
      </c>
      <c r="L53" s="75">
        <f>'TABLA SALARIAL 2024 (23 X 2%)'!F3</f>
        <v>861.46</v>
      </c>
      <c r="M53" s="75">
        <f>4*'TABLA SALARIAL 2024 (23 X 2%)'!I3+5*'TABLA SALARIAL 2024 (23 X 2%)'!G3</f>
        <v>243.49</v>
      </c>
      <c r="N53" s="75">
        <f t="shared" ref="N53" si="35">ROUND((T53+U53+O53+P53)*2/12,2)</f>
        <v>472.24</v>
      </c>
      <c r="O53" s="75">
        <f>'TABLA SALARIAL 2024 (23 X 2%)'!B17</f>
        <v>610</v>
      </c>
      <c r="P53" s="75">
        <f>'TABLA SALARIAL 2024 (23 X 2%)'!G14</f>
        <v>1257.8800000000001</v>
      </c>
      <c r="Q53" s="75">
        <f>'TABLA SALARIAL 2024 (23 X 2%)'!F5</f>
        <v>138.32</v>
      </c>
      <c r="R53" s="71"/>
      <c r="S53" s="75"/>
      <c r="T53" s="75">
        <f>'TABLA SALARIAL 2024 (23 X 2%)'!F4</f>
        <v>744.56</v>
      </c>
      <c r="U53" s="75">
        <f>4*'TABLA SALARIAL 2024 (23 X 2%)'!I4+5*'TABLA SALARIAL 2024 (23 X 2%)'!G4</f>
        <v>221.01</v>
      </c>
      <c r="V53" s="76">
        <v>7</v>
      </c>
      <c r="W53" s="71">
        <f>ROUND(L53*V53,2)</f>
        <v>6030.22</v>
      </c>
      <c r="X53" s="71">
        <f>ROUND(M53*V53,2)</f>
        <v>1704.43</v>
      </c>
      <c r="Y53" s="71">
        <f>ROUND(N53*V53,2)</f>
        <v>3305.68</v>
      </c>
      <c r="Z53" s="71">
        <f t="shared" ref="Z53:Z55" si="36">ROUND(O53*V53,2)</f>
        <v>4270</v>
      </c>
      <c r="AA53" s="71">
        <f t="shared" ref="AA53:AA55" si="37">ROUND(P53*V53,2)</f>
        <v>8805.16</v>
      </c>
      <c r="AB53" s="71">
        <f t="shared" ref="AB53:AB55" si="38">ROUND(Q53*V53,2)</f>
        <v>968.24</v>
      </c>
      <c r="AC53" s="71">
        <f>ROUND(R53*V53,2)</f>
        <v>0</v>
      </c>
      <c r="AD53" s="71">
        <f>ROUND(S53*V53,2)</f>
        <v>0</v>
      </c>
      <c r="AE53" s="104">
        <f>W53+X53+Y53+Z53+AA53+AB53</f>
        <v>25083.73</v>
      </c>
      <c r="AF53" s="71">
        <v>0</v>
      </c>
    </row>
    <row r="54" spans="1:32">
      <c r="A54" s="82">
        <v>231</v>
      </c>
      <c r="B54" s="82" t="s">
        <v>251</v>
      </c>
      <c r="C54" s="70" t="s">
        <v>132</v>
      </c>
      <c r="D54" s="140" t="s">
        <v>350</v>
      </c>
      <c r="E54" s="73" t="s">
        <v>122</v>
      </c>
      <c r="F54" s="70" t="s">
        <v>7</v>
      </c>
      <c r="G54" s="70"/>
      <c r="H54" s="79">
        <v>46174</v>
      </c>
      <c r="I54" s="70" t="s">
        <v>7</v>
      </c>
      <c r="J54" s="70">
        <v>16</v>
      </c>
      <c r="K54" s="70">
        <v>36</v>
      </c>
      <c r="L54" s="71">
        <v>0</v>
      </c>
      <c r="M54" s="75">
        <f>(30.61*G54)</f>
        <v>0</v>
      </c>
      <c r="N54" s="75">
        <v>0</v>
      </c>
      <c r="O54" s="73">
        <v>0</v>
      </c>
      <c r="P54" s="75">
        <v>0</v>
      </c>
      <c r="Q54" s="75">
        <v>0</v>
      </c>
      <c r="R54" s="73"/>
      <c r="S54" s="73"/>
      <c r="T54" s="75">
        <v>0</v>
      </c>
      <c r="U54" s="75">
        <v>0</v>
      </c>
      <c r="V54" s="73">
        <v>12</v>
      </c>
      <c r="W54" s="71">
        <f>ROUND(L54*V54,2)</f>
        <v>0</v>
      </c>
      <c r="X54" s="71">
        <f>ROUND(M54*V54,2)</f>
        <v>0</v>
      </c>
      <c r="Y54" s="71">
        <f>ROUND(N54*V54,2)</f>
        <v>0</v>
      </c>
      <c r="Z54" s="71">
        <f t="shared" si="36"/>
        <v>0</v>
      </c>
      <c r="AA54" s="71">
        <f t="shared" si="37"/>
        <v>0</v>
      </c>
      <c r="AB54" s="71">
        <f t="shared" si="38"/>
        <v>0</v>
      </c>
      <c r="AC54" s="71">
        <f>ROUND(R54*V54,2)</f>
        <v>0</v>
      </c>
      <c r="AD54" s="71">
        <f>ROUND(S54*V54,2)</f>
        <v>0</v>
      </c>
      <c r="AE54" s="104">
        <f>W54+X54+Y54+Z54+AA54+AB54</f>
        <v>0</v>
      </c>
      <c r="AF54" s="71">
        <f>AE54</f>
        <v>0</v>
      </c>
    </row>
    <row r="55" spans="1:32">
      <c r="A55" s="81"/>
      <c r="B55" s="82" t="s">
        <v>252</v>
      </c>
      <c r="C55" s="70" t="s">
        <v>198</v>
      </c>
      <c r="D55" s="140" t="s">
        <v>169</v>
      </c>
      <c r="E55" s="73" t="s">
        <v>122</v>
      </c>
      <c r="F55" s="70" t="s">
        <v>7</v>
      </c>
      <c r="G55" s="70"/>
      <c r="H55" s="70"/>
      <c r="I55" s="70" t="s">
        <v>7</v>
      </c>
      <c r="J55" s="70">
        <v>16</v>
      </c>
      <c r="K55" s="70">
        <v>36</v>
      </c>
      <c r="L55" s="71">
        <v>0</v>
      </c>
      <c r="M55" s="75">
        <v>0</v>
      </c>
      <c r="N55" s="75">
        <v>0</v>
      </c>
      <c r="O55" s="73">
        <v>0</v>
      </c>
      <c r="P55" s="75">
        <v>0</v>
      </c>
      <c r="Q55" s="75">
        <v>0</v>
      </c>
      <c r="R55" s="73"/>
      <c r="S55" s="73"/>
      <c r="T55" s="75">
        <v>0</v>
      </c>
      <c r="U55" s="71">
        <v>0</v>
      </c>
      <c r="V55" s="113">
        <v>0.03</v>
      </c>
      <c r="W55" s="71">
        <f>ROUND(L55*V55,2)</f>
        <v>0</v>
      </c>
      <c r="X55" s="71">
        <f>ROUND(M55*V55,2)</f>
        <v>0</v>
      </c>
      <c r="Y55" s="71">
        <f>ROUND(N55*V55,2)</f>
        <v>0</v>
      </c>
      <c r="Z55" s="71">
        <f t="shared" si="36"/>
        <v>0</v>
      </c>
      <c r="AA55" s="71">
        <f t="shared" si="37"/>
        <v>0</v>
      </c>
      <c r="AB55" s="71">
        <f t="shared" si="38"/>
        <v>0</v>
      </c>
      <c r="AC55" s="71">
        <f>ROUND(R55*V55,2)</f>
        <v>0</v>
      </c>
      <c r="AD55" s="71">
        <f>ROUND(S55*V55,2)</f>
        <v>0</v>
      </c>
      <c r="AE55" s="104">
        <f>W55+X55+Y55+Z55+AA55+AB55</f>
        <v>0</v>
      </c>
      <c r="AF55" s="71">
        <f t="shared" ref="AF55" si="39">AE55-X55</f>
        <v>0</v>
      </c>
    </row>
    <row r="56" spans="1:32">
      <c r="A56" s="99"/>
      <c r="B56" s="98"/>
      <c r="C56" s="90"/>
      <c r="D56" s="89"/>
      <c r="E56" s="89"/>
      <c r="F56" s="90"/>
      <c r="G56" s="90"/>
      <c r="H56" s="90"/>
      <c r="I56" s="90"/>
      <c r="J56" s="90"/>
      <c r="K56" s="90"/>
      <c r="L56" s="89"/>
      <c r="M56" s="92"/>
      <c r="N56" s="92"/>
      <c r="O56" s="89">
        <v>0</v>
      </c>
      <c r="P56" s="92"/>
      <c r="Q56" s="92"/>
      <c r="R56" s="89"/>
      <c r="S56" s="89"/>
      <c r="T56" s="89"/>
      <c r="U56" s="93"/>
      <c r="V56" s="89"/>
      <c r="W56" s="93"/>
      <c r="X56" s="93">
        <f>SUM(X53:X55)</f>
        <v>1704.43</v>
      </c>
      <c r="Y56" s="93"/>
      <c r="Z56" s="93"/>
      <c r="AA56" s="93"/>
      <c r="AB56" s="93"/>
      <c r="AC56" s="93"/>
      <c r="AD56" s="93"/>
      <c r="AE56" s="105">
        <f>SUM(AE53:AE55)</f>
        <v>25083.73</v>
      </c>
      <c r="AF56" s="105">
        <f>SUM(AF53:AF55)</f>
        <v>0</v>
      </c>
    </row>
    <row r="57" spans="1:32">
      <c r="A57" s="262"/>
      <c r="B57" s="263"/>
      <c r="C57" s="263"/>
      <c r="D57" s="263"/>
      <c r="E57" s="263"/>
      <c r="F57" s="263"/>
      <c r="G57" s="263"/>
      <c r="H57" s="263"/>
      <c r="I57" s="263"/>
      <c r="J57" s="263"/>
      <c r="K57" s="263"/>
      <c r="L57" s="263"/>
      <c r="M57" s="263"/>
      <c r="N57" s="263"/>
      <c r="O57" s="263"/>
      <c r="P57" s="263"/>
      <c r="Q57" s="263"/>
      <c r="R57" s="263"/>
      <c r="S57" s="263"/>
      <c r="T57" s="263"/>
      <c r="U57" s="263"/>
      <c r="V57" s="263"/>
      <c r="W57" s="263"/>
      <c r="X57" s="263"/>
      <c r="Y57" s="263"/>
      <c r="Z57" s="263"/>
      <c r="AA57" s="263"/>
      <c r="AB57" s="263"/>
      <c r="AC57" s="263"/>
      <c r="AD57" s="263"/>
      <c r="AE57" s="263"/>
      <c r="AF57" s="114"/>
    </row>
    <row r="58" spans="1:32">
      <c r="A58" s="60"/>
      <c r="B58" s="61"/>
      <c r="C58" s="61"/>
      <c r="D58" s="61" t="s">
        <v>214</v>
      </c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3"/>
    </row>
    <row r="59" spans="1:32" ht="26.25">
      <c r="A59" s="60" t="s">
        <v>52</v>
      </c>
      <c r="B59" s="60"/>
      <c r="C59" s="60" t="s">
        <v>51</v>
      </c>
      <c r="D59" s="63" t="s">
        <v>90</v>
      </c>
      <c r="E59" s="60" t="s">
        <v>91</v>
      </c>
      <c r="F59" s="64" t="s">
        <v>124</v>
      </c>
      <c r="G59" s="64" t="s">
        <v>176</v>
      </c>
      <c r="H59" s="64" t="s">
        <v>125</v>
      </c>
      <c r="I59" s="60" t="s">
        <v>32</v>
      </c>
      <c r="J59" s="60" t="s">
        <v>167</v>
      </c>
      <c r="K59" s="60" t="s">
        <v>168</v>
      </c>
      <c r="L59" s="65" t="s">
        <v>92</v>
      </c>
      <c r="M59" s="65" t="s">
        <v>93</v>
      </c>
      <c r="N59" s="65" t="s">
        <v>94</v>
      </c>
      <c r="O59" s="65" t="s">
        <v>95</v>
      </c>
      <c r="P59" s="65" t="s">
        <v>96</v>
      </c>
      <c r="Q59" s="65" t="s">
        <v>97</v>
      </c>
      <c r="R59" s="65" t="s">
        <v>98</v>
      </c>
      <c r="S59" s="65" t="s">
        <v>99</v>
      </c>
      <c r="T59" s="65" t="s">
        <v>100</v>
      </c>
      <c r="U59" s="65" t="s">
        <v>101</v>
      </c>
      <c r="V59" s="60" t="s">
        <v>102</v>
      </c>
      <c r="W59" s="65" t="s">
        <v>103</v>
      </c>
      <c r="X59" s="65" t="s">
        <v>104</v>
      </c>
      <c r="Y59" s="65" t="s">
        <v>105</v>
      </c>
      <c r="Z59" s="65" t="s">
        <v>106</v>
      </c>
      <c r="AA59" s="65" t="s">
        <v>107</v>
      </c>
      <c r="AB59" s="65" t="s">
        <v>108</v>
      </c>
      <c r="AC59" s="65" t="s">
        <v>109</v>
      </c>
      <c r="AD59" s="65" t="s">
        <v>110</v>
      </c>
      <c r="AE59" s="69" t="s">
        <v>422</v>
      </c>
      <c r="AF59" s="127" t="s">
        <v>343</v>
      </c>
    </row>
    <row r="60" spans="1:32">
      <c r="A60" s="16">
        <v>95</v>
      </c>
      <c r="B60" s="16" t="s">
        <v>278</v>
      </c>
      <c r="C60" s="16" t="s">
        <v>27</v>
      </c>
      <c r="D60" s="144" t="s">
        <v>71</v>
      </c>
      <c r="E60" s="6" t="s">
        <v>121</v>
      </c>
      <c r="F60" s="7" t="s">
        <v>127</v>
      </c>
      <c r="G60" s="70">
        <v>8</v>
      </c>
      <c r="H60" s="17">
        <v>46324</v>
      </c>
      <c r="I60" s="16" t="s">
        <v>11</v>
      </c>
      <c r="J60" s="16">
        <v>26</v>
      </c>
      <c r="K60" s="16">
        <v>75</v>
      </c>
      <c r="L60" s="4">
        <f>'TABLA SALARIAL 2024 (23 X 2%)'!B3</f>
        <v>1326.9</v>
      </c>
      <c r="M60" s="4">
        <f>G60*'TABLA SALARIAL 2024 (23 X 2%)'!C3</f>
        <v>408.56</v>
      </c>
      <c r="N60" s="75">
        <f t="shared" ref="N60:N64" si="40">ROUND((T60+U60+O60+P60)*2/12,2)</f>
        <v>620.12</v>
      </c>
      <c r="O60" s="4">
        <f>'TABLA SALARIAL 2024 (23 X 2%)'!B13</f>
        <v>835.38</v>
      </c>
      <c r="P60" s="4">
        <f>'TABLA SALARIAL 2024 (23 X 2%)'!G10</f>
        <v>1814.25</v>
      </c>
      <c r="Q60" s="4">
        <f>'TABLA SALARIAL 2024 (23 X 2%)'!B5</f>
        <v>205.29</v>
      </c>
      <c r="R60" s="5"/>
      <c r="S60" s="5"/>
      <c r="T60" s="4">
        <f>'TABLA SALARIAL 2024 (23 X 2%)'!B4</f>
        <v>818.82</v>
      </c>
      <c r="U60" s="5">
        <f>G60*'TABLA SALARIAL 2024 (23 X 2%)'!C4</f>
        <v>252.24</v>
      </c>
      <c r="V60" s="8">
        <v>7</v>
      </c>
      <c r="W60" s="5">
        <f t="shared" ref="W60:W122" si="41">ROUND(L60*V60,2)</f>
        <v>9288.2999999999993</v>
      </c>
      <c r="X60" s="71">
        <f t="shared" ref="X60:X66" si="42">ROUND(M60*V60,2)</f>
        <v>2859.92</v>
      </c>
      <c r="Y60" s="5">
        <f t="shared" ref="Y60:Y97" si="43">ROUND(N60*V60,2)</f>
        <v>4340.84</v>
      </c>
      <c r="Z60" s="5">
        <f t="shared" ref="Z60:Z122" si="44">ROUND(O60*V60,2)</f>
        <v>5847.66</v>
      </c>
      <c r="AA60" s="5">
        <f t="shared" ref="AA60:AA122" si="45">ROUND(P60*V60,2)</f>
        <v>12699.75</v>
      </c>
      <c r="AB60" s="5">
        <f t="shared" ref="AB60:AB122" si="46">ROUND(Q60*V60,2)</f>
        <v>1437.03</v>
      </c>
      <c r="AC60" s="5">
        <f t="shared" ref="AC60:AC122" si="47">ROUND(R60*V60,2)</f>
        <v>0</v>
      </c>
      <c r="AD60" s="5">
        <f t="shared" ref="AD60:AD122" si="48">ROUND(S60*V60,2)</f>
        <v>0</v>
      </c>
      <c r="AE60" s="101">
        <f t="shared" ref="AE60:AE122" si="49">W60+X60+Y60+Z60+AA60+AB60</f>
        <v>36473.5</v>
      </c>
      <c r="AF60" s="5">
        <v>0</v>
      </c>
    </row>
    <row r="61" spans="1:32">
      <c r="A61" s="47"/>
      <c r="B61" t="s">
        <v>334</v>
      </c>
      <c r="C61" t="s">
        <v>133</v>
      </c>
      <c r="D61" s="147" t="s">
        <v>169</v>
      </c>
      <c r="E61" t="s">
        <v>115</v>
      </c>
      <c r="F61" s="199" t="s">
        <v>11</v>
      </c>
      <c r="I61" s="199" t="s">
        <v>11</v>
      </c>
      <c r="J61" s="199">
        <v>24</v>
      </c>
      <c r="K61" s="199">
        <v>63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T61">
        <v>0</v>
      </c>
      <c r="U61">
        <v>0</v>
      </c>
      <c r="V61">
        <v>0.03</v>
      </c>
      <c r="W61">
        <f t="shared" si="41"/>
        <v>0</v>
      </c>
      <c r="X61">
        <f t="shared" si="42"/>
        <v>0</v>
      </c>
      <c r="Y61">
        <f t="shared" si="43"/>
        <v>0</v>
      </c>
      <c r="Z61">
        <f t="shared" si="44"/>
        <v>0</v>
      </c>
      <c r="AA61">
        <f t="shared" si="45"/>
        <v>0</v>
      </c>
      <c r="AB61">
        <f t="shared" si="46"/>
        <v>0</v>
      </c>
      <c r="AC61">
        <f t="shared" si="47"/>
        <v>0</v>
      </c>
      <c r="AD61">
        <f t="shared" si="48"/>
        <v>0</v>
      </c>
      <c r="AE61">
        <f t="shared" si="49"/>
        <v>0</v>
      </c>
      <c r="AF61">
        <f t="shared" ref="AF61:AF114" si="50">AE61-X61</f>
        <v>0</v>
      </c>
    </row>
    <row r="62" spans="1:32">
      <c r="A62" s="16">
        <v>49</v>
      </c>
      <c r="B62" s="16" t="s">
        <v>256</v>
      </c>
      <c r="C62" s="16" t="s">
        <v>12</v>
      </c>
      <c r="D62" s="144" t="s">
        <v>59</v>
      </c>
      <c r="E62" s="6" t="s">
        <v>115</v>
      </c>
      <c r="F62" s="7" t="s">
        <v>11</v>
      </c>
      <c r="G62" s="70">
        <v>8</v>
      </c>
      <c r="H62" s="17">
        <v>46306</v>
      </c>
      <c r="I62" s="16" t="s">
        <v>11</v>
      </c>
      <c r="J62" s="16">
        <v>24</v>
      </c>
      <c r="K62" s="16">
        <v>63</v>
      </c>
      <c r="L62" s="4">
        <f>'TABLA SALARIAL 2024 (23 X 2%)'!B3</f>
        <v>1326.9</v>
      </c>
      <c r="M62" s="4">
        <f>G62*'TABLA SALARIAL 2024 (23 X 2%)'!C3</f>
        <v>408.56</v>
      </c>
      <c r="N62" s="75">
        <f t="shared" si="40"/>
        <v>548.75</v>
      </c>
      <c r="O62" s="4">
        <f>'TABLA SALARIAL 2024 (23 X 2%)'!B15</f>
        <v>697.46</v>
      </c>
      <c r="P62" s="4">
        <f>'TABLA SALARIAL 2024 (23 X 2%)'!G11</f>
        <v>1523.97</v>
      </c>
      <c r="Q62" s="4">
        <f>'TABLA SALARIAL 2024 (23 X 2%)'!B5</f>
        <v>205.29</v>
      </c>
      <c r="R62" s="5"/>
      <c r="S62" s="5"/>
      <c r="T62" s="4">
        <f>'TABLA SALARIAL 2024 (23 X 2%)'!B4</f>
        <v>818.82</v>
      </c>
      <c r="U62" s="5">
        <f>G62*'TABLA SALARIAL 2024 (23 X 2%)'!C4</f>
        <v>252.24</v>
      </c>
      <c r="V62" s="8">
        <v>7</v>
      </c>
      <c r="W62" s="5">
        <f t="shared" si="41"/>
        <v>9288.2999999999993</v>
      </c>
      <c r="X62" s="5">
        <f t="shared" si="42"/>
        <v>2859.92</v>
      </c>
      <c r="Y62" s="5">
        <f t="shared" si="43"/>
        <v>3841.25</v>
      </c>
      <c r="Z62" s="5">
        <f t="shared" si="44"/>
        <v>4882.22</v>
      </c>
      <c r="AA62" s="5">
        <f t="shared" si="45"/>
        <v>10667.79</v>
      </c>
      <c r="AB62" s="5">
        <f t="shared" si="46"/>
        <v>1437.03</v>
      </c>
      <c r="AC62" s="5">
        <f t="shared" si="47"/>
        <v>0</v>
      </c>
      <c r="AD62" s="5">
        <f t="shared" si="48"/>
        <v>0</v>
      </c>
      <c r="AE62" s="101">
        <f t="shared" si="49"/>
        <v>32976.51</v>
      </c>
      <c r="AF62" s="5">
        <v>0</v>
      </c>
    </row>
    <row r="63" spans="1:32">
      <c r="A63" s="72">
        <v>93</v>
      </c>
      <c r="B63" s="72" t="s">
        <v>259</v>
      </c>
      <c r="C63" s="72" t="s">
        <v>4</v>
      </c>
      <c r="D63" s="139" t="s">
        <v>70</v>
      </c>
      <c r="E63" s="73" t="s">
        <v>120</v>
      </c>
      <c r="F63" s="70" t="s">
        <v>3</v>
      </c>
      <c r="G63" s="70">
        <v>8</v>
      </c>
      <c r="H63" s="74">
        <v>46722</v>
      </c>
      <c r="I63" s="72" t="s">
        <v>3</v>
      </c>
      <c r="J63" s="72">
        <v>22</v>
      </c>
      <c r="K63" s="72">
        <v>54</v>
      </c>
      <c r="L63" s="75">
        <f>'TABLA SALARIAL 2024 (23 X 2%)'!D3</f>
        <v>1147.3499999999999</v>
      </c>
      <c r="M63" s="75">
        <f>G63*'TABLA SALARIAL 2024 (23 X 2%)'!E3</f>
        <v>333.2</v>
      </c>
      <c r="N63" s="75">
        <f t="shared" si="40"/>
        <v>499.33</v>
      </c>
      <c r="O63" s="75">
        <f>'TABLA SALARIAL 2024 (23 X 2%)'!B17</f>
        <v>610</v>
      </c>
      <c r="P63" s="4">
        <f>'TABLA SALARIAL 2024 (23 X 2%)'!G13</f>
        <v>1306.26</v>
      </c>
      <c r="Q63" s="75">
        <f>'TABLA SALARIAL 2024 (23 X 2%)'!D5</f>
        <v>167.76</v>
      </c>
      <c r="R63" s="71"/>
      <c r="S63" s="75">
        <v>297.58999999999997</v>
      </c>
      <c r="T63" s="75">
        <f>'TABLA SALARIAL 2024 (23 X 2%)'!D4</f>
        <v>836.78</v>
      </c>
      <c r="U63" s="75">
        <f>G63*'TABLA SALARIAL 2024 (23 X 2%)'!E4</f>
        <v>242.96</v>
      </c>
      <c r="V63" s="76">
        <v>7</v>
      </c>
      <c r="W63" s="71">
        <f t="shared" si="41"/>
        <v>8031.45</v>
      </c>
      <c r="X63" s="71">
        <f>ROUND(M63*V63,2)+41.44</f>
        <v>2373.84</v>
      </c>
      <c r="Y63" s="71">
        <f t="shared" si="43"/>
        <v>3495.31</v>
      </c>
      <c r="Z63" s="71">
        <f t="shared" si="44"/>
        <v>4270</v>
      </c>
      <c r="AA63" s="71">
        <f t="shared" si="45"/>
        <v>9143.82</v>
      </c>
      <c r="AB63" s="71">
        <f t="shared" si="46"/>
        <v>1174.32</v>
      </c>
      <c r="AC63" s="71">
        <f t="shared" si="47"/>
        <v>0</v>
      </c>
      <c r="AD63" s="71">
        <f t="shared" si="48"/>
        <v>2083.13</v>
      </c>
      <c r="AE63" s="104">
        <f>W63+X63+Y63+Z63+AA63+AB63+AD63</f>
        <v>30571.87</v>
      </c>
      <c r="AF63" s="5">
        <v>0</v>
      </c>
    </row>
    <row r="64" spans="1:32">
      <c r="A64" s="72">
        <v>67</v>
      </c>
      <c r="B64" s="72" t="s">
        <v>258</v>
      </c>
      <c r="C64" s="72" t="s">
        <v>26</v>
      </c>
      <c r="D64" s="196" t="s">
        <v>431</v>
      </c>
      <c r="E64" s="85" t="s">
        <v>424</v>
      </c>
      <c r="F64" s="70" t="s">
        <v>3</v>
      </c>
      <c r="G64" s="70">
        <f>2+6</f>
        <v>8</v>
      </c>
      <c r="H64" s="74">
        <v>46635</v>
      </c>
      <c r="I64" s="72" t="s">
        <v>3</v>
      </c>
      <c r="J64" s="72">
        <v>22</v>
      </c>
      <c r="K64" s="72">
        <v>54</v>
      </c>
      <c r="L64" s="75">
        <f>'TABLA SALARIAL 2024 (23 X 2%)'!D3</f>
        <v>1147.3499999999999</v>
      </c>
      <c r="M64" s="75">
        <f>2*'TABLA SALARIAL 2024 (23 X 2%)'!I3+6*'TABLA SALARIAL 2024 (23 X 2%)'!E3</f>
        <v>292.82</v>
      </c>
      <c r="N64" s="75">
        <f t="shared" si="40"/>
        <v>496.29</v>
      </c>
      <c r="O64" s="75">
        <f>'TABLA SALARIAL 2024 (23 X 2%)'!B17</f>
        <v>610</v>
      </c>
      <c r="P64" s="4">
        <f>'TABLA SALARIAL 2024 (23 X 2%)'!G13</f>
        <v>1306.26</v>
      </c>
      <c r="Q64" s="75">
        <f>'TABLA SALARIAL 2024 (23 X 2%)'!D5</f>
        <v>167.76</v>
      </c>
      <c r="R64" s="71"/>
      <c r="S64" s="75"/>
      <c r="T64" s="75">
        <f>'TABLA SALARIAL 2024 (23 X 2%)'!D4</f>
        <v>836.78</v>
      </c>
      <c r="U64" s="75">
        <f>2*'TABLA SALARIAL 2024 (23 X 2%)'!I4+6*'TABLA SALARIAL 2024 (23 X 2%)'!E4</f>
        <v>224.7</v>
      </c>
      <c r="V64" s="76">
        <v>7</v>
      </c>
      <c r="W64" s="71">
        <f t="shared" si="41"/>
        <v>8031.45</v>
      </c>
      <c r="X64" s="71">
        <f>ROUND(M64*V64,2)+41.44*3</f>
        <v>2174.06</v>
      </c>
      <c r="Y64" s="71">
        <f t="shared" si="43"/>
        <v>3474.03</v>
      </c>
      <c r="Z64" s="71">
        <f t="shared" si="44"/>
        <v>4270</v>
      </c>
      <c r="AA64" s="71">
        <f t="shared" si="45"/>
        <v>9143.82</v>
      </c>
      <c r="AB64" s="71">
        <f t="shared" si="46"/>
        <v>1174.32</v>
      </c>
      <c r="AC64" s="71">
        <f t="shared" si="47"/>
        <v>0</v>
      </c>
      <c r="AD64" s="71">
        <f t="shared" si="48"/>
        <v>0</v>
      </c>
      <c r="AE64" s="104">
        <f t="shared" si="49"/>
        <v>28267.68</v>
      </c>
      <c r="AF64" s="5">
        <v>0</v>
      </c>
    </row>
    <row r="65" spans="1:32">
      <c r="A65" s="72">
        <v>59</v>
      </c>
      <c r="B65" s="72" t="s">
        <v>269</v>
      </c>
      <c r="C65" s="72" t="s">
        <v>22</v>
      </c>
      <c r="D65" s="139" t="s">
        <v>63</v>
      </c>
      <c r="E65" s="73" t="s">
        <v>118</v>
      </c>
      <c r="F65" s="70" t="s">
        <v>7</v>
      </c>
      <c r="G65" s="70">
        <v>8</v>
      </c>
      <c r="H65" s="74">
        <v>46090</v>
      </c>
      <c r="I65" s="72" t="s">
        <v>7</v>
      </c>
      <c r="J65" s="72">
        <v>18</v>
      </c>
      <c r="K65" s="72">
        <v>37</v>
      </c>
      <c r="L65" s="75">
        <f>'TABLA SALARIAL 2024 (23 X 2%)'!F3</f>
        <v>861.46</v>
      </c>
      <c r="M65" s="75">
        <f>G65*'TABLA SALARIAL 2024 (23 X 2%)'!G3</f>
        <v>252.24</v>
      </c>
      <c r="N65" s="75">
        <f t="shared" ref="N65:N96" si="51">ROUND((T65+U65+O65+P65)*2/12,2)</f>
        <v>388.27</v>
      </c>
      <c r="O65" s="75">
        <f>'TABLA SALARIAL 2024 (23 X 2%)'!B21</f>
        <v>472.37</v>
      </c>
      <c r="P65" s="4">
        <f>'TABLA SALARIAL 2024 (23 X 2%)'!G18</f>
        <v>895.03000000000009</v>
      </c>
      <c r="Q65" s="75">
        <f>'TABLA SALARIAL 2024 (23 X 2%)'!F5</f>
        <v>138.32</v>
      </c>
      <c r="R65" s="71"/>
      <c r="S65" s="75">
        <v>420.74</v>
      </c>
      <c r="T65" s="75">
        <f>'TABLA SALARIAL 2024 (23 X 2%)'!F4</f>
        <v>744.56</v>
      </c>
      <c r="U65" s="75">
        <f>G65*'TABLA SALARIAL 2024 (23 X 2%)'!G4</f>
        <v>217.68</v>
      </c>
      <c r="V65" s="76">
        <v>7</v>
      </c>
      <c r="W65" s="71">
        <f t="shared" si="41"/>
        <v>6030.22</v>
      </c>
      <c r="X65" s="71">
        <f t="shared" si="42"/>
        <v>1765.68</v>
      </c>
      <c r="Y65" s="71">
        <f t="shared" si="43"/>
        <v>2717.89</v>
      </c>
      <c r="Z65" s="71">
        <f t="shared" si="44"/>
        <v>3306.59</v>
      </c>
      <c r="AA65" s="71">
        <f t="shared" si="45"/>
        <v>6265.21</v>
      </c>
      <c r="AB65" s="71">
        <f t="shared" si="46"/>
        <v>968.24</v>
      </c>
      <c r="AC65" s="71">
        <f t="shared" si="47"/>
        <v>0</v>
      </c>
      <c r="AD65" s="71">
        <f t="shared" si="48"/>
        <v>2945.18</v>
      </c>
      <c r="AE65" s="104">
        <f>W65+X65+Y65+Z65+AA65+AB65+AD65</f>
        <v>23999.010000000002</v>
      </c>
      <c r="AF65" s="5">
        <v>0</v>
      </c>
    </row>
    <row r="66" spans="1:32">
      <c r="A66" s="83"/>
      <c r="B66" s="72" t="s">
        <v>261</v>
      </c>
      <c r="C66" s="72" t="s">
        <v>134</v>
      </c>
      <c r="D66" s="142" t="s">
        <v>169</v>
      </c>
      <c r="E66" s="73" t="s">
        <v>122</v>
      </c>
      <c r="F66" s="70" t="s">
        <v>7</v>
      </c>
      <c r="G66" s="70"/>
      <c r="H66" s="74"/>
      <c r="I66" s="72" t="s">
        <v>7</v>
      </c>
      <c r="J66" s="72">
        <v>16</v>
      </c>
      <c r="K66" s="72">
        <v>36</v>
      </c>
      <c r="L66" s="75">
        <v>0</v>
      </c>
      <c r="M66" s="75">
        <v>0</v>
      </c>
      <c r="N66" s="75">
        <v>0</v>
      </c>
      <c r="O66" s="75">
        <v>0</v>
      </c>
      <c r="P66" s="4">
        <v>0</v>
      </c>
      <c r="Q66" s="75">
        <v>0</v>
      </c>
      <c r="R66" s="71"/>
      <c r="S66" s="75"/>
      <c r="T66" s="75">
        <v>0</v>
      </c>
      <c r="U66" s="75">
        <v>0</v>
      </c>
      <c r="V66" s="128">
        <v>0</v>
      </c>
      <c r="W66" s="71">
        <f t="shared" si="41"/>
        <v>0</v>
      </c>
      <c r="X66" s="71">
        <f t="shared" si="42"/>
        <v>0</v>
      </c>
      <c r="Y66" s="71">
        <f t="shared" si="43"/>
        <v>0</v>
      </c>
      <c r="Z66" s="71">
        <f t="shared" si="44"/>
        <v>0</v>
      </c>
      <c r="AA66" s="71">
        <f t="shared" si="45"/>
        <v>0</v>
      </c>
      <c r="AB66" s="71">
        <f t="shared" si="46"/>
        <v>0</v>
      </c>
      <c r="AC66" s="71">
        <f t="shared" si="47"/>
        <v>0</v>
      </c>
      <c r="AD66" s="71">
        <f t="shared" si="48"/>
        <v>0</v>
      </c>
      <c r="AE66" s="104">
        <f t="shared" si="49"/>
        <v>0</v>
      </c>
      <c r="AF66" s="5">
        <f t="shared" si="50"/>
        <v>0</v>
      </c>
    </row>
    <row r="67" spans="1:32">
      <c r="A67" s="84">
        <v>66</v>
      </c>
      <c r="B67" s="72" t="s">
        <v>274</v>
      </c>
      <c r="C67" s="84" t="s">
        <v>16</v>
      </c>
      <c r="D67" s="135" t="s">
        <v>67</v>
      </c>
      <c r="E67" s="85" t="s">
        <v>111</v>
      </c>
      <c r="F67" s="70" t="s">
        <v>0</v>
      </c>
      <c r="G67" s="70">
        <v>8</v>
      </c>
      <c r="H67" s="74">
        <v>46639</v>
      </c>
      <c r="I67" s="72" t="s">
        <v>0</v>
      </c>
      <c r="J67" s="72">
        <v>16</v>
      </c>
      <c r="K67" s="72">
        <v>38</v>
      </c>
      <c r="L67" s="75">
        <f>'TABLA SALARIAL 2024 (23 X 2%)'!$H$3</f>
        <v>716.98</v>
      </c>
      <c r="M67" s="75">
        <f>G67*'TABLA SALARIAL 2024 (23 X 2%)'!$I$3</f>
        <v>171.68</v>
      </c>
      <c r="N67" s="75">
        <f t="shared" si="51"/>
        <v>369.71</v>
      </c>
      <c r="O67" s="75">
        <f>'TABLA SALARIAL 2024 (23 X 2%)'!$B$23</f>
        <v>418.69</v>
      </c>
      <c r="P67" s="4">
        <f>'TABLA SALARIAL 2024 (23 X 2%)'!$G$17</f>
        <v>919.22</v>
      </c>
      <c r="Q67" s="75">
        <f>'TABLA SALARIAL 2024 (23 X 2%)'!$H$5</f>
        <v>114.02</v>
      </c>
      <c r="R67" s="71"/>
      <c r="S67" s="75"/>
      <c r="T67" s="75">
        <f>'TABLA SALARIAL 2024 (23 X 2%)'!$H$4</f>
        <v>710.44</v>
      </c>
      <c r="U67" s="75">
        <f>G67*'TABLA SALARIAL 2024 (23 X 2%)'!$I$4</f>
        <v>169.92</v>
      </c>
      <c r="V67" s="76">
        <v>7</v>
      </c>
      <c r="W67" s="71">
        <f t="shared" si="41"/>
        <v>5018.8599999999997</v>
      </c>
      <c r="X67" s="71">
        <f t="shared" ref="X67:X72" si="52">ROUND(M67*V67,2)</f>
        <v>1201.76</v>
      </c>
      <c r="Y67" s="71">
        <f t="shared" si="43"/>
        <v>2587.9699999999998</v>
      </c>
      <c r="Z67" s="71">
        <f t="shared" si="44"/>
        <v>2930.83</v>
      </c>
      <c r="AA67" s="71">
        <f t="shared" si="45"/>
        <v>6434.54</v>
      </c>
      <c r="AB67" s="71">
        <f t="shared" si="46"/>
        <v>798.14</v>
      </c>
      <c r="AC67" s="71">
        <f t="shared" si="47"/>
        <v>0</v>
      </c>
      <c r="AD67" s="71">
        <f t="shared" si="48"/>
        <v>0</v>
      </c>
      <c r="AE67" s="104">
        <f t="shared" si="49"/>
        <v>18972.099999999999</v>
      </c>
      <c r="AF67" s="5">
        <v>0</v>
      </c>
    </row>
    <row r="68" spans="1:32">
      <c r="A68" s="72">
        <v>129</v>
      </c>
      <c r="B68" s="72" t="s">
        <v>283</v>
      </c>
      <c r="C68" s="72" t="s">
        <v>135</v>
      </c>
      <c r="D68" s="135" t="s">
        <v>75</v>
      </c>
      <c r="E68" s="73" t="s">
        <v>111</v>
      </c>
      <c r="F68" s="70" t="s">
        <v>0</v>
      </c>
      <c r="G68" s="70">
        <v>7</v>
      </c>
      <c r="H68" s="74">
        <v>46528</v>
      </c>
      <c r="I68" s="72" t="s">
        <v>0</v>
      </c>
      <c r="J68" s="72">
        <v>16</v>
      </c>
      <c r="K68" s="72">
        <v>38</v>
      </c>
      <c r="L68" s="75">
        <f>'TABLA SALARIAL 2024 (23 X 2%)'!$H$3</f>
        <v>716.98</v>
      </c>
      <c r="M68" s="75">
        <f>G68*'TABLA SALARIAL 2024 (23 X 2%)'!$I$3</f>
        <v>150.22</v>
      </c>
      <c r="N68" s="75">
        <f t="shared" si="51"/>
        <v>366.17</v>
      </c>
      <c r="O68" s="75">
        <f>'TABLA SALARIAL 2024 (23 X 2%)'!$B$23</f>
        <v>418.69</v>
      </c>
      <c r="P68" s="4">
        <f>'TABLA SALARIAL 2024 (23 X 2%)'!$G$17</f>
        <v>919.22</v>
      </c>
      <c r="Q68" s="75">
        <f>'TABLA SALARIAL 2024 (23 X 2%)'!$H$5</f>
        <v>114.02</v>
      </c>
      <c r="R68" s="71"/>
      <c r="S68" s="75"/>
      <c r="T68" s="75">
        <f>'TABLA SALARIAL 2024 (23 X 2%)'!$H$4</f>
        <v>710.44</v>
      </c>
      <c r="U68" s="75">
        <f>G68*'TABLA SALARIAL 2024 (23 X 2%)'!$I$4</f>
        <v>148.67999999999998</v>
      </c>
      <c r="V68" s="76">
        <v>7</v>
      </c>
      <c r="W68" s="71">
        <f t="shared" si="41"/>
        <v>5018.8599999999997</v>
      </c>
      <c r="X68" s="71">
        <f t="shared" si="52"/>
        <v>1051.54</v>
      </c>
      <c r="Y68" s="71">
        <f t="shared" si="43"/>
        <v>2563.19</v>
      </c>
      <c r="Z68" s="71">
        <f t="shared" si="44"/>
        <v>2930.83</v>
      </c>
      <c r="AA68" s="71">
        <f t="shared" si="45"/>
        <v>6434.54</v>
      </c>
      <c r="AB68" s="71">
        <f t="shared" si="46"/>
        <v>798.14</v>
      </c>
      <c r="AC68" s="71">
        <f t="shared" si="47"/>
        <v>0</v>
      </c>
      <c r="AD68" s="71">
        <f t="shared" si="48"/>
        <v>0</v>
      </c>
      <c r="AE68" s="104">
        <f t="shared" si="49"/>
        <v>18797.099999999999</v>
      </c>
      <c r="AF68" s="5">
        <v>0</v>
      </c>
    </row>
    <row r="69" spans="1:32">
      <c r="A69" s="72">
        <v>26</v>
      </c>
      <c r="B69" s="72" t="s">
        <v>250</v>
      </c>
      <c r="C69" s="72" t="s">
        <v>209</v>
      </c>
      <c r="D69" s="135" t="s">
        <v>54</v>
      </c>
      <c r="E69" s="73" t="s">
        <v>112</v>
      </c>
      <c r="F69" s="70" t="s">
        <v>0</v>
      </c>
      <c r="G69" s="70">
        <f>'trienios 2025'!F8</f>
        <v>14</v>
      </c>
      <c r="H69" s="74">
        <v>45887</v>
      </c>
      <c r="I69" s="72" t="s">
        <v>0</v>
      </c>
      <c r="J69" s="72">
        <v>15</v>
      </c>
      <c r="K69" s="72">
        <v>37</v>
      </c>
      <c r="L69" s="75">
        <f>'TABLA SALARIAL 2024 (23 X 2%)'!$H$3</f>
        <v>716.98</v>
      </c>
      <c r="M69" s="75">
        <f>G69*'TABLA SALARIAL 2024 (23 X 2%)'!$I$3</f>
        <v>300.44</v>
      </c>
      <c r="N69" s="75">
        <f t="shared" si="51"/>
        <v>382.44</v>
      </c>
      <c r="O69" s="75">
        <f>'TABLA SALARIAL 2024 (23 X 2%)'!$B$24</f>
        <v>391.78</v>
      </c>
      <c r="P69" s="4">
        <f>'TABLA SALARIAL 2024 (23 X 2%)'!$G$18</f>
        <v>895.03000000000009</v>
      </c>
      <c r="Q69" s="75">
        <f>'TABLA SALARIAL 2024 (23 X 2%)'!$H$5</f>
        <v>114.02</v>
      </c>
      <c r="R69" s="71"/>
      <c r="S69" s="75"/>
      <c r="T69" s="75">
        <f>'TABLA SALARIAL 2024 (23 X 2%)'!$H$4</f>
        <v>710.44</v>
      </c>
      <c r="U69" s="75">
        <f>G69*'TABLA SALARIAL 2024 (23 X 2%)'!$I$4</f>
        <v>297.35999999999996</v>
      </c>
      <c r="V69" s="76">
        <v>7</v>
      </c>
      <c r="W69" s="71">
        <f t="shared" si="41"/>
        <v>5018.8599999999997</v>
      </c>
      <c r="X69" s="71">
        <f t="shared" si="52"/>
        <v>2103.08</v>
      </c>
      <c r="Y69" s="71">
        <f t="shared" si="43"/>
        <v>2677.08</v>
      </c>
      <c r="Z69" s="71">
        <f t="shared" si="44"/>
        <v>2742.46</v>
      </c>
      <c r="AA69" s="71">
        <f t="shared" si="45"/>
        <v>6265.21</v>
      </c>
      <c r="AB69" s="71">
        <f t="shared" si="46"/>
        <v>798.14</v>
      </c>
      <c r="AC69" s="71">
        <f t="shared" si="47"/>
        <v>0</v>
      </c>
      <c r="AD69" s="71">
        <f t="shared" si="48"/>
        <v>0</v>
      </c>
      <c r="AE69" s="104">
        <f t="shared" si="49"/>
        <v>19604.829999999998</v>
      </c>
      <c r="AF69" s="5">
        <v>0</v>
      </c>
    </row>
    <row r="70" spans="1:32">
      <c r="A70" s="72">
        <v>136</v>
      </c>
      <c r="B70" s="72" t="s">
        <v>266</v>
      </c>
      <c r="C70" s="72" t="s">
        <v>136</v>
      </c>
      <c r="D70" s="135" t="s">
        <v>76</v>
      </c>
      <c r="E70" s="73" t="s">
        <v>112</v>
      </c>
      <c r="F70" s="70" t="s">
        <v>0</v>
      </c>
      <c r="G70" s="70">
        <v>7</v>
      </c>
      <c r="H70" s="74">
        <v>46345</v>
      </c>
      <c r="I70" s="72" t="s">
        <v>0</v>
      </c>
      <c r="J70" s="72">
        <v>15</v>
      </c>
      <c r="K70" s="72">
        <v>37</v>
      </c>
      <c r="L70" s="75">
        <f>'TABLA SALARIAL 2024 (23 X 2%)'!$H$3</f>
        <v>716.98</v>
      </c>
      <c r="M70" s="75">
        <f>G70*'TABLA SALARIAL 2024 (23 X 2%)'!$I$3</f>
        <v>150.22</v>
      </c>
      <c r="N70" s="75">
        <f t="shared" si="51"/>
        <v>357.66</v>
      </c>
      <c r="O70" s="75">
        <f>'TABLA SALARIAL 2024 (23 X 2%)'!$B$24</f>
        <v>391.78</v>
      </c>
      <c r="P70" s="4">
        <f>'TABLA SALARIAL 2024 (23 X 2%)'!$G$18</f>
        <v>895.03000000000009</v>
      </c>
      <c r="Q70" s="75">
        <f>'TABLA SALARIAL 2024 (23 X 2%)'!$H$5</f>
        <v>114.02</v>
      </c>
      <c r="R70" s="71"/>
      <c r="S70" s="75"/>
      <c r="T70" s="75">
        <f>'TABLA SALARIAL 2024 (23 X 2%)'!$H$4</f>
        <v>710.44</v>
      </c>
      <c r="U70" s="75">
        <f>G70*'TABLA SALARIAL 2024 (23 X 2%)'!$I$4</f>
        <v>148.67999999999998</v>
      </c>
      <c r="V70" s="76">
        <v>7</v>
      </c>
      <c r="W70" s="71">
        <f t="shared" si="41"/>
        <v>5018.8599999999997</v>
      </c>
      <c r="X70" s="71">
        <f t="shared" si="52"/>
        <v>1051.54</v>
      </c>
      <c r="Y70" s="71">
        <f t="shared" si="43"/>
        <v>2503.62</v>
      </c>
      <c r="Z70" s="71">
        <f t="shared" si="44"/>
        <v>2742.46</v>
      </c>
      <c r="AA70" s="71">
        <f t="shared" si="45"/>
        <v>6265.21</v>
      </c>
      <c r="AB70" s="71">
        <f t="shared" si="46"/>
        <v>798.14</v>
      </c>
      <c r="AC70" s="71">
        <f t="shared" si="47"/>
        <v>0</v>
      </c>
      <c r="AD70" s="71">
        <f t="shared" si="48"/>
        <v>0</v>
      </c>
      <c r="AE70" s="104">
        <f t="shared" si="49"/>
        <v>18379.829999999998</v>
      </c>
      <c r="AF70" s="5">
        <v>0</v>
      </c>
    </row>
    <row r="71" spans="1:32">
      <c r="A71" s="72">
        <v>151</v>
      </c>
      <c r="B71" s="72" t="s">
        <v>267</v>
      </c>
      <c r="C71" s="72" t="s">
        <v>29</v>
      </c>
      <c r="D71" s="135" t="s">
        <v>83</v>
      </c>
      <c r="E71" s="73" t="s">
        <v>112</v>
      </c>
      <c r="F71" s="70" t="s">
        <v>0</v>
      </c>
      <c r="G71" s="70">
        <v>7</v>
      </c>
      <c r="H71" s="74">
        <v>46302</v>
      </c>
      <c r="I71" s="72" t="s">
        <v>0</v>
      </c>
      <c r="J71" s="72">
        <v>15</v>
      </c>
      <c r="K71" s="72">
        <v>37</v>
      </c>
      <c r="L71" s="75">
        <f>'TABLA SALARIAL 2024 (23 X 2%)'!$H$3</f>
        <v>716.98</v>
      </c>
      <c r="M71" s="75">
        <f>G71*'TABLA SALARIAL 2024 (23 X 2%)'!$I$3</f>
        <v>150.22</v>
      </c>
      <c r="N71" s="75">
        <f t="shared" si="51"/>
        <v>357.66</v>
      </c>
      <c r="O71" s="75">
        <f>'TABLA SALARIAL 2024 (23 X 2%)'!$B$24</f>
        <v>391.78</v>
      </c>
      <c r="P71" s="4">
        <f>'TABLA SALARIAL 2024 (23 X 2%)'!$G$18</f>
        <v>895.03000000000009</v>
      </c>
      <c r="Q71" s="75">
        <f>'TABLA SALARIAL 2024 (23 X 2%)'!$H$5</f>
        <v>114.02</v>
      </c>
      <c r="R71" s="71"/>
      <c r="S71" s="75"/>
      <c r="T71" s="75">
        <f>'TABLA SALARIAL 2024 (23 X 2%)'!$H$4</f>
        <v>710.44</v>
      </c>
      <c r="U71" s="75">
        <f>G71*'TABLA SALARIAL 2024 (23 X 2%)'!$I$4</f>
        <v>148.67999999999998</v>
      </c>
      <c r="V71" s="76">
        <v>7</v>
      </c>
      <c r="W71" s="71">
        <f t="shared" si="41"/>
        <v>5018.8599999999997</v>
      </c>
      <c r="X71" s="71">
        <f t="shared" si="52"/>
        <v>1051.54</v>
      </c>
      <c r="Y71" s="71">
        <f t="shared" si="43"/>
        <v>2503.62</v>
      </c>
      <c r="Z71" s="71">
        <f t="shared" si="44"/>
        <v>2742.46</v>
      </c>
      <c r="AA71" s="71">
        <f t="shared" si="45"/>
        <v>6265.21</v>
      </c>
      <c r="AB71" s="71">
        <f t="shared" si="46"/>
        <v>798.14</v>
      </c>
      <c r="AC71" s="71">
        <f t="shared" si="47"/>
        <v>0</v>
      </c>
      <c r="AD71" s="71">
        <f t="shared" si="48"/>
        <v>0</v>
      </c>
      <c r="AE71" s="104">
        <f t="shared" si="49"/>
        <v>18379.829999999998</v>
      </c>
      <c r="AF71" s="5">
        <v>0</v>
      </c>
    </row>
    <row r="72" spans="1:32">
      <c r="A72" s="72">
        <v>46</v>
      </c>
      <c r="B72" s="72" t="s">
        <v>249</v>
      </c>
      <c r="C72" s="72" t="s">
        <v>1</v>
      </c>
      <c r="D72" s="135" t="s">
        <v>57</v>
      </c>
      <c r="E72" s="73" t="s">
        <v>112</v>
      </c>
      <c r="F72" s="70" t="s">
        <v>0</v>
      </c>
      <c r="G72" s="70">
        <v>7</v>
      </c>
      <c r="H72" s="74">
        <v>46090</v>
      </c>
      <c r="I72" s="72" t="s">
        <v>0</v>
      </c>
      <c r="J72" s="72">
        <v>15</v>
      </c>
      <c r="K72" s="72">
        <v>37</v>
      </c>
      <c r="L72" s="75">
        <f>'TABLA SALARIAL 2024 (23 X 2%)'!$H$3</f>
        <v>716.98</v>
      </c>
      <c r="M72" s="75">
        <f>G72*'TABLA SALARIAL 2024 (23 X 2%)'!$I$3</f>
        <v>150.22</v>
      </c>
      <c r="N72" s="75">
        <f t="shared" si="51"/>
        <v>357.66</v>
      </c>
      <c r="O72" s="75">
        <f>'TABLA SALARIAL 2024 (23 X 2%)'!$B$24</f>
        <v>391.78</v>
      </c>
      <c r="P72" s="4">
        <f>'TABLA SALARIAL 2024 (23 X 2%)'!$G$18</f>
        <v>895.03000000000009</v>
      </c>
      <c r="Q72" s="75">
        <f>'TABLA SALARIAL 2024 (23 X 2%)'!$H$5</f>
        <v>114.02</v>
      </c>
      <c r="R72" s="71"/>
      <c r="S72" s="75"/>
      <c r="T72" s="75">
        <f>'TABLA SALARIAL 2024 (23 X 2%)'!$H$4</f>
        <v>710.44</v>
      </c>
      <c r="U72" s="75">
        <f>G72*'TABLA SALARIAL 2024 (23 X 2%)'!$I$4</f>
        <v>148.67999999999998</v>
      </c>
      <c r="V72" s="76">
        <v>7</v>
      </c>
      <c r="W72" s="71">
        <f t="shared" si="41"/>
        <v>5018.8599999999997</v>
      </c>
      <c r="X72" s="71">
        <f t="shared" si="52"/>
        <v>1051.54</v>
      </c>
      <c r="Y72" s="71">
        <f t="shared" si="43"/>
        <v>2503.62</v>
      </c>
      <c r="Z72" s="71">
        <f t="shared" si="44"/>
        <v>2742.46</v>
      </c>
      <c r="AA72" s="71">
        <f t="shared" si="45"/>
        <v>6265.21</v>
      </c>
      <c r="AB72" s="71">
        <f t="shared" si="46"/>
        <v>798.14</v>
      </c>
      <c r="AC72" s="71">
        <f t="shared" si="47"/>
        <v>0</v>
      </c>
      <c r="AD72" s="71">
        <f t="shared" si="48"/>
        <v>0</v>
      </c>
      <c r="AE72" s="104">
        <f t="shared" si="49"/>
        <v>18379.829999999998</v>
      </c>
      <c r="AF72" s="5">
        <v>0</v>
      </c>
    </row>
    <row r="73" spans="1:32">
      <c r="A73" s="72">
        <v>154</v>
      </c>
      <c r="B73" s="72" t="s">
        <v>291</v>
      </c>
      <c r="C73" s="72" t="s">
        <v>2</v>
      </c>
      <c r="D73" s="135" t="s">
        <v>84</v>
      </c>
      <c r="E73" s="73" t="s">
        <v>112</v>
      </c>
      <c r="F73" s="70" t="s">
        <v>0</v>
      </c>
      <c r="G73" s="70">
        <v>7</v>
      </c>
      <c r="H73" s="74">
        <v>46355</v>
      </c>
      <c r="I73" s="72" t="s">
        <v>0</v>
      </c>
      <c r="J73" s="72">
        <v>15</v>
      </c>
      <c r="K73" s="72">
        <v>37</v>
      </c>
      <c r="L73" s="75">
        <f>'TABLA SALARIAL 2024 (23 X 2%)'!$H$3</f>
        <v>716.98</v>
      </c>
      <c r="M73" s="75">
        <f>G73*'TABLA SALARIAL 2024 (23 X 2%)'!$I$3</f>
        <v>150.22</v>
      </c>
      <c r="N73" s="75">
        <f t="shared" si="51"/>
        <v>357.66</v>
      </c>
      <c r="O73" s="75">
        <f>'TABLA SALARIAL 2024 (23 X 2%)'!$B$24</f>
        <v>391.78</v>
      </c>
      <c r="P73" s="4">
        <f>'TABLA SALARIAL 2024 (23 X 2%)'!$G$18</f>
        <v>895.03000000000009</v>
      </c>
      <c r="Q73" s="75">
        <f>'TABLA SALARIAL 2024 (23 X 2%)'!$H$5</f>
        <v>114.02</v>
      </c>
      <c r="R73" s="71"/>
      <c r="S73" s="75"/>
      <c r="T73" s="75">
        <f>'TABLA SALARIAL 2024 (23 X 2%)'!$H$4</f>
        <v>710.44</v>
      </c>
      <c r="U73" s="75">
        <f>G73*'TABLA SALARIAL 2024 (23 X 2%)'!$I$4</f>
        <v>148.67999999999998</v>
      </c>
      <c r="V73" s="76">
        <v>7</v>
      </c>
      <c r="W73" s="71">
        <f t="shared" si="41"/>
        <v>5018.8599999999997</v>
      </c>
      <c r="X73" s="71">
        <f t="shared" ref="X73:X82" si="53">ROUND(M73*V73,2)</f>
        <v>1051.54</v>
      </c>
      <c r="Y73" s="71">
        <f t="shared" si="43"/>
        <v>2503.62</v>
      </c>
      <c r="Z73" s="71">
        <f t="shared" si="44"/>
        <v>2742.46</v>
      </c>
      <c r="AA73" s="71">
        <f t="shared" si="45"/>
        <v>6265.21</v>
      </c>
      <c r="AB73" s="71">
        <f t="shared" si="46"/>
        <v>798.14</v>
      </c>
      <c r="AC73" s="71">
        <f t="shared" si="47"/>
        <v>0</v>
      </c>
      <c r="AD73" s="71">
        <f t="shared" si="48"/>
        <v>0</v>
      </c>
      <c r="AE73" s="104">
        <f t="shared" si="49"/>
        <v>18379.829999999998</v>
      </c>
      <c r="AF73" s="5">
        <v>0</v>
      </c>
    </row>
    <row r="74" spans="1:32">
      <c r="A74" s="72">
        <v>155</v>
      </c>
      <c r="B74" s="72" t="s">
        <v>292</v>
      </c>
      <c r="C74" s="72" t="s">
        <v>35</v>
      </c>
      <c r="D74" s="135" t="s">
        <v>85</v>
      </c>
      <c r="E74" s="73" t="s">
        <v>112</v>
      </c>
      <c r="F74" s="70" t="s">
        <v>0</v>
      </c>
      <c r="G74" s="70">
        <v>7</v>
      </c>
      <c r="H74" s="74">
        <v>46345</v>
      </c>
      <c r="I74" s="72" t="s">
        <v>0</v>
      </c>
      <c r="J74" s="72">
        <v>15</v>
      </c>
      <c r="K74" s="72">
        <v>37</v>
      </c>
      <c r="L74" s="75">
        <f>'TABLA SALARIAL 2024 (23 X 2%)'!$H$3</f>
        <v>716.98</v>
      </c>
      <c r="M74" s="75">
        <f>G74*'TABLA SALARIAL 2024 (23 X 2%)'!$I$3</f>
        <v>150.22</v>
      </c>
      <c r="N74" s="75">
        <f t="shared" si="51"/>
        <v>357.66</v>
      </c>
      <c r="O74" s="75">
        <f>'TABLA SALARIAL 2024 (23 X 2%)'!$B$24</f>
        <v>391.78</v>
      </c>
      <c r="P74" s="4">
        <f>'TABLA SALARIAL 2024 (23 X 2%)'!$G$18</f>
        <v>895.03000000000009</v>
      </c>
      <c r="Q74" s="75">
        <f>'TABLA SALARIAL 2024 (23 X 2%)'!$H$5</f>
        <v>114.02</v>
      </c>
      <c r="R74" s="71"/>
      <c r="S74" s="75"/>
      <c r="T74" s="75">
        <f>'TABLA SALARIAL 2024 (23 X 2%)'!$H$4</f>
        <v>710.44</v>
      </c>
      <c r="U74" s="75">
        <f>G74*'TABLA SALARIAL 2024 (23 X 2%)'!$I$4</f>
        <v>148.67999999999998</v>
      </c>
      <c r="V74" s="76">
        <v>7</v>
      </c>
      <c r="W74" s="71">
        <f t="shared" si="41"/>
        <v>5018.8599999999997</v>
      </c>
      <c r="X74" s="71">
        <f t="shared" si="53"/>
        <v>1051.54</v>
      </c>
      <c r="Y74" s="71">
        <f t="shared" si="43"/>
        <v>2503.62</v>
      </c>
      <c r="Z74" s="71">
        <f t="shared" si="44"/>
        <v>2742.46</v>
      </c>
      <c r="AA74" s="71">
        <f t="shared" si="45"/>
        <v>6265.21</v>
      </c>
      <c r="AB74" s="71">
        <f t="shared" si="46"/>
        <v>798.14</v>
      </c>
      <c r="AC74" s="71">
        <f t="shared" si="47"/>
        <v>0</v>
      </c>
      <c r="AD74" s="71">
        <f t="shared" si="48"/>
        <v>0</v>
      </c>
      <c r="AE74" s="104">
        <f t="shared" si="49"/>
        <v>18379.829999999998</v>
      </c>
      <c r="AF74" s="5">
        <v>0</v>
      </c>
    </row>
    <row r="75" spans="1:32">
      <c r="A75" s="72">
        <v>126</v>
      </c>
      <c r="B75" s="72" t="s">
        <v>282</v>
      </c>
      <c r="C75" s="72" t="s">
        <v>43</v>
      </c>
      <c r="D75" s="135" t="s">
        <v>74</v>
      </c>
      <c r="E75" s="73" t="s">
        <v>112</v>
      </c>
      <c r="F75" s="70" t="s">
        <v>0</v>
      </c>
      <c r="G75" s="70">
        <v>7</v>
      </c>
      <c r="H75" s="74">
        <v>46345</v>
      </c>
      <c r="I75" s="72" t="s">
        <v>0</v>
      </c>
      <c r="J75" s="72">
        <v>15</v>
      </c>
      <c r="K75" s="72">
        <v>37</v>
      </c>
      <c r="L75" s="75">
        <f>'TABLA SALARIAL 2024 (23 X 2%)'!$H$3</f>
        <v>716.98</v>
      </c>
      <c r="M75" s="75">
        <f>G75*'TABLA SALARIAL 2024 (23 X 2%)'!$I$3</f>
        <v>150.22</v>
      </c>
      <c r="N75" s="75">
        <f t="shared" si="51"/>
        <v>357.66</v>
      </c>
      <c r="O75" s="75">
        <f>'TABLA SALARIAL 2024 (23 X 2%)'!$B$24</f>
        <v>391.78</v>
      </c>
      <c r="P75" s="4">
        <f>'TABLA SALARIAL 2024 (23 X 2%)'!$G$18</f>
        <v>895.03000000000009</v>
      </c>
      <c r="Q75" s="75">
        <f>'TABLA SALARIAL 2024 (23 X 2%)'!$H$5</f>
        <v>114.02</v>
      </c>
      <c r="R75" s="71"/>
      <c r="S75" s="75"/>
      <c r="T75" s="75">
        <f>'TABLA SALARIAL 2024 (23 X 2%)'!$H$4</f>
        <v>710.44</v>
      </c>
      <c r="U75" s="75">
        <f>G75*'TABLA SALARIAL 2024 (23 X 2%)'!$I$4</f>
        <v>148.67999999999998</v>
      </c>
      <c r="V75" s="76">
        <v>7</v>
      </c>
      <c r="W75" s="71">
        <f t="shared" si="41"/>
        <v>5018.8599999999997</v>
      </c>
      <c r="X75" s="71">
        <f t="shared" si="53"/>
        <v>1051.54</v>
      </c>
      <c r="Y75" s="71">
        <f t="shared" si="43"/>
        <v>2503.62</v>
      </c>
      <c r="Z75" s="71">
        <f t="shared" si="44"/>
        <v>2742.46</v>
      </c>
      <c r="AA75" s="71">
        <f t="shared" si="45"/>
        <v>6265.21</v>
      </c>
      <c r="AB75" s="71">
        <f t="shared" si="46"/>
        <v>798.14</v>
      </c>
      <c r="AC75" s="71">
        <f t="shared" si="47"/>
        <v>0</v>
      </c>
      <c r="AD75" s="71">
        <f t="shared" si="48"/>
        <v>0</v>
      </c>
      <c r="AE75" s="104">
        <f t="shared" si="49"/>
        <v>18379.829999999998</v>
      </c>
      <c r="AF75" s="5">
        <v>0</v>
      </c>
    </row>
    <row r="76" spans="1:32">
      <c r="A76" s="72"/>
      <c r="B76" s="72" t="s">
        <v>330</v>
      </c>
      <c r="C76" s="72" t="s">
        <v>137</v>
      </c>
      <c r="D76" s="145" t="s">
        <v>169</v>
      </c>
      <c r="E76" s="73" t="s">
        <v>112</v>
      </c>
      <c r="F76" s="70" t="s">
        <v>0</v>
      </c>
      <c r="G76" s="70"/>
      <c r="H76" s="74"/>
      <c r="I76" s="72" t="s">
        <v>0</v>
      </c>
      <c r="J76" s="72">
        <v>15</v>
      </c>
      <c r="K76" s="72">
        <v>37</v>
      </c>
      <c r="L76" s="75">
        <v>0</v>
      </c>
      <c r="M76" s="75">
        <f t="shared" ref="M76" si="54">(20.04*G76)</f>
        <v>0</v>
      </c>
      <c r="N76" s="75">
        <v>0</v>
      </c>
      <c r="O76" s="75">
        <v>0</v>
      </c>
      <c r="P76" s="4">
        <v>0</v>
      </c>
      <c r="Q76" s="75">
        <v>0</v>
      </c>
      <c r="R76" s="71"/>
      <c r="S76" s="75"/>
      <c r="T76" s="75">
        <v>0</v>
      </c>
      <c r="U76" s="75">
        <f>20.62*G76</f>
        <v>0</v>
      </c>
      <c r="V76" s="128">
        <v>8</v>
      </c>
      <c r="W76" s="71">
        <f t="shared" si="41"/>
        <v>0</v>
      </c>
      <c r="X76" s="71">
        <f t="shared" si="53"/>
        <v>0</v>
      </c>
      <c r="Y76" s="71">
        <f t="shared" si="43"/>
        <v>0</v>
      </c>
      <c r="Z76" s="71">
        <f t="shared" si="44"/>
        <v>0</v>
      </c>
      <c r="AA76" s="71">
        <f t="shared" si="45"/>
        <v>0</v>
      </c>
      <c r="AB76" s="71">
        <f t="shared" si="46"/>
        <v>0</v>
      </c>
      <c r="AC76" s="71">
        <f t="shared" si="47"/>
        <v>0</v>
      </c>
      <c r="AD76" s="71">
        <f t="shared" si="48"/>
        <v>0</v>
      </c>
      <c r="AE76" s="104">
        <f t="shared" si="49"/>
        <v>0</v>
      </c>
      <c r="AF76" s="5">
        <f t="shared" si="50"/>
        <v>0</v>
      </c>
    </row>
    <row r="77" spans="1:32">
      <c r="A77" s="72">
        <v>156</v>
      </c>
      <c r="B77" s="72" t="s">
        <v>293</v>
      </c>
      <c r="C77" s="72" t="s">
        <v>138</v>
      </c>
      <c r="D77" s="135" t="s">
        <v>86</v>
      </c>
      <c r="E77" s="73" t="s">
        <v>112</v>
      </c>
      <c r="F77" s="70" t="s">
        <v>0</v>
      </c>
      <c r="G77" s="70">
        <v>7</v>
      </c>
      <c r="H77" s="74">
        <v>46345</v>
      </c>
      <c r="I77" s="72" t="s">
        <v>0</v>
      </c>
      <c r="J77" s="72">
        <v>15</v>
      </c>
      <c r="K77" s="72">
        <v>37</v>
      </c>
      <c r="L77" s="75">
        <f>'TABLA SALARIAL 2024 (23 X 2%)'!$H$3</f>
        <v>716.98</v>
      </c>
      <c r="M77" s="75">
        <f>G77*'TABLA SALARIAL 2024 (23 X 2%)'!$I$3</f>
        <v>150.22</v>
      </c>
      <c r="N77" s="75">
        <f t="shared" si="51"/>
        <v>357.66</v>
      </c>
      <c r="O77" s="75">
        <f>'TABLA SALARIAL 2024 (23 X 2%)'!$B$24</f>
        <v>391.78</v>
      </c>
      <c r="P77" s="4">
        <f>'TABLA SALARIAL 2024 (23 X 2%)'!$G$18</f>
        <v>895.03000000000009</v>
      </c>
      <c r="Q77" s="75">
        <f>'TABLA SALARIAL 2024 (23 X 2%)'!$H$5</f>
        <v>114.02</v>
      </c>
      <c r="R77" s="71"/>
      <c r="S77" s="75"/>
      <c r="T77" s="75">
        <f>'TABLA SALARIAL 2024 (23 X 2%)'!$H$4</f>
        <v>710.44</v>
      </c>
      <c r="U77" s="75">
        <f>G77*'TABLA SALARIAL 2024 (23 X 2%)'!$I$4</f>
        <v>148.67999999999998</v>
      </c>
      <c r="V77" s="76">
        <v>7</v>
      </c>
      <c r="W77" s="71">
        <f t="shared" si="41"/>
        <v>5018.8599999999997</v>
      </c>
      <c r="X77" s="71">
        <f t="shared" si="53"/>
        <v>1051.54</v>
      </c>
      <c r="Y77" s="71">
        <f t="shared" si="43"/>
        <v>2503.62</v>
      </c>
      <c r="Z77" s="71">
        <f t="shared" si="44"/>
        <v>2742.46</v>
      </c>
      <c r="AA77" s="71">
        <f t="shared" si="45"/>
        <v>6265.21</v>
      </c>
      <c r="AB77" s="71">
        <f t="shared" si="46"/>
        <v>798.14</v>
      </c>
      <c r="AC77" s="71">
        <f t="shared" si="47"/>
        <v>0</v>
      </c>
      <c r="AD77" s="71">
        <f t="shared" si="48"/>
        <v>0</v>
      </c>
      <c r="AE77" s="104">
        <f t="shared" si="49"/>
        <v>18379.829999999998</v>
      </c>
      <c r="AF77" s="5">
        <v>0</v>
      </c>
    </row>
    <row r="78" spans="1:32">
      <c r="A78" s="72">
        <v>145</v>
      </c>
      <c r="B78" s="72" t="s">
        <v>287</v>
      </c>
      <c r="C78" s="72" t="s">
        <v>9</v>
      </c>
      <c r="D78" s="135" t="s">
        <v>80</v>
      </c>
      <c r="E78" s="73" t="s">
        <v>112</v>
      </c>
      <c r="F78" s="70" t="s">
        <v>0</v>
      </c>
      <c r="G78" s="70">
        <v>7</v>
      </c>
      <c r="H78" s="74">
        <v>46522</v>
      </c>
      <c r="I78" s="72" t="s">
        <v>0</v>
      </c>
      <c r="J78" s="72">
        <v>15</v>
      </c>
      <c r="K78" s="72">
        <v>37</v>
      </c>
      <c r="L78" s="75">
        <f>'TABLA SALARIAL 2024 (23 X 2%)'!$H$3</f>
        <v>716.98</v>
      </c>
      <c r="M78" s="75">
        <f>G78*'TABLA SALARIAL 2024 (23 X 2%)'!$I$3</f>
        <v>150.22</v>
      </c>
      <c r="N78" s="75">
        <f t="shared" si="51"/>
        <v>357.66</v>
      </c>
      <c r="O78" s="75">
        <f>'TABLA SALARIAL 2024 (23 X 2%)'!$B$24</f>
        <v>391.78</v>
      </c>
      <c r="P78" s="4">
        <f>'TABLA SALARIAL 2024 (23 X 2%)'!$G$18</f>
        <v>895.03000000000009</v>
      </c>
      <c r="Q78" s="75">
        <f>'TABLA SALARIAL 2024 (23 X 2%)'!$H$5</f>
        <v>114.02</v>
      </c>
      <c r="R78" s="71"/>
      <c r="S78" s="75"/>
      <c r="T78" s="75">
        <f>'TABLA SALARIAL 2024 (23 X 2%)'!$H$4</f>
        <v>710.44</v>
      </c>
      <c r="U78" s="75">
        <f>G78*'TABLA SALARIAL 2024 (23 X 2%)'!$I$4</f>
        <v>148.67999999999998</v>
      </c>
      <c r="V78" s="76">
        <v>7</v>
      </c>
      <c r="W78" s="71">
        <f t="shared" si="41"/>
        <v>5018.8599999999997</v>
      </c>
      <c r="X78" s="71">
        <f t="shared" si="53"/>
        <v>1051.54</v>
      </c>
      <c r="Y78" s="71">
        <f t="shared" si="43"/>
        <v>2503.62</v>
      </c>
      <c r="Z78" s="71">
        <f t="shared" si="44"/>
        <v>2742.46</v>
      </c>
      <c r="AA78" s="71">
        <f t="shared" si="45"/>
        <v>6265.21</v>
      </c>
      <c r="AB78" s="71">
        <f t="shared" si="46"/>
        <v>798.14</v>
      </c>
      <c r="AC78" s="71">
        <f t="shared" si="47"/>
        <v>0</v>
      </c>
      <c r="AD78" s="71">
        <f t="shared" si="48"/>
        <v>0</v>
      </c>
      <c r="AE78" s="104">
        <f t="shared" si="49"/>
        <v>18379.829999999998</v>
      </c>
      <c r="AF78" s="5">
        <v>0</v>
      </c>
    </row>
    <row r="79" spans="1:32">
      <c r="A79" s="72">
        <v>62</v>
      </c>
      <c r="B79" s="72" t="s">
        <v>272</v>
      </c>
      <c r="C79" s="72" t="s">
        <v>44</v>
      </c>
      <c r="D79" s="135" t="s">
        <v>65</v>
      </c>
      <c r="E79" s="73" t="s">
        <v>112</v>
      </c>
      <c r="F79" s="70" t="s">
        <v>0</v>
      </c>
      <c r="G79" s="70">
        <f>'trienios 2025'!F9</f>
        <v>10</v>
      </c>
      <c r="H79" s="74">
        <v>45992</v>
      </c>
      <c r="I79" s="72" t="s">
        <v>0</v>
      </c>
      <c r="J79" s="72">
        <v>15</v>
      </c>
      <c r="K79" s="72">
        <v>37</v>
      </c>
      <c r="L79" s="75">
        <f>'TABLA SALARIAL 2024 (23 X 2%)'!$H$3</f>
        <v>716.98</v>
      </c>
      <c r="M79" s="75">
        <f>G79*'TABLA SALARIAL 2024 (23 X 2%)'!$I$3</f>
        <v>214.60000000000002</v>
      </c>
      <c r="N79" s="75">
        <f t="shared" si="51"/>
        <v>368.28</v>
      </c>
      <c r="O79" s="75">
        <f>'TABLA SALARIAL 2024 (23 X 2%)'!$B$24</f>
        <v>391.78</v>
      </c>
      <c r="P79" s="4">
        <f>'TABLA SALARIAL 2024 (23 X 2%)'!$G$18</f>
        <v>895.03000000000009</v>
      </c>
      <c r="Q79" s="75">
        <f>'TABLA SALARIAL 2024 (23 X 2%)'!$H$5</f>
        <v>114.02</v>
      </c>
      <c r="R79" s="71"/>
      <c r="S79" s="71"/>
      <c r="T79" s="75">
        <f>'TABLA SALARIAL 2024 (23 X 2%)'!$H$4</f>
        <v>710.44</v>
      </c>
      <c r="U79" s="75">
        <f>G79*'TABLA SALARIAL 2024 (23 X 2%)'!$I$4</f>
        <v>212.39999999999998</v>
      </c>
      <c r="V79" s="76">
        <v>7</v>
      </c>
      <c r="W79" s="71">
        <f t="shared" si="41"/>
        <v>5018.8599999999997</v>
      </c>
      <c r="X79" s="71">
        <f t="shared" si="53"/>
        <v>1502.2</v>
      </c>
      <c r="Y79" s="71">
        <f t="shared" si="43"/>
        <v>2577.96</v>
      </c>
      <c r="Z79" s="71">
        <f t="shared" si="44"/>
        <v>2742.46</v>
      </c>
      <c r="AA79" s="71">
        <f t="shared" si="45"/>
        <v>6265.21</v>
      </c>
      <c r="AB79" s="71">
        <f t="shared" si="46"/>
        <v>798.14</v>
      </c>
      <c r="AC79" s="71">
        <f t="shared" si="47"/>
        <v>0</v>
      </c>
      <c r="AD79" s="71">
        <f t="shared" si="48"/>
        <v>0</v>
      </c>
      <c r="AE79" s="104">
        <f t="shared" si="49"/>
        <v>18904.829999999998</v>
      </c>
      <c r="AF79" s="5">
        <v>0</v>
      </c>
    </row>
    <row r="80" spans="1:32">
      <c r="A80" s="72">
        <v>150</v>
      </c>
      <c r="B80" s="72" t="s">
        <v>290</v>
      </c>
      <c r="C80" s="72" t="s">
        <v>45</v>
      </c>
      <c r="D80" s="135" t="s">
        <v>82</v>
      </c>
      <c r="E80" s="73" t="s">
        <v>112</v>
      </c>
      <c r="F80" s="70" t="s">
        <v>0</v>
      </c>
      <c r="G80" s="70">
        <v>7</v>
      </c>
      <c r="H80" s="74">
        <v>46302</v>
      </c>
      <c r="I80" s="72" t="s">
        <v>0</v>
      </c>
      <c r="J80" s="72">
        <v>15</v>
      </c>
      <c r="K80" s="72">
        <v>37</v>
      </c>
      <c r="L80" s="75">
        <f>'TABLA SALARIAL 2024 (23 X 2%)'!$H$3</f>
        <v>716.98</v>
      </c>
      <c r="M80" s="75">
        <f>G80*'TABLA SALARIAL 2024 (23 X 2%)'!$I$3</f>
        <v>150.22</v>
      </c>
      <c r="N80" s="75">
        <f t="shared" si="51"/>
        <v>357.66</v>
      </c>
      <c r="O80" s="75">
        <f>'TABLA SALARIAL 2024 (23 X 2%)'!$B$24</f>
        <v>391.78</v>
      </c>
      <c r="P80" s="4">
        <f>'TABLA SALARIAL 2024 (23 X 2%)'!$G$18</f>
        <v>895.03000000000009</v>
      </c>
      <c r="Q80" s="75">
        <f>'TABLA SALARIAL 2024 (23 X 2%)'!$H$5</f>
        <v>114.02</v>
      </c>
      <c r="R80" s="71"/>
      <c r="S80" s="75"/>
      <c r="T80" s="75">
        <f>'TABLA SALARIAL 2024 (23 X 2%)'!$H$4</f>
        <v>710.44</v>
      </c>
      <c r="U80" s="75">
        <f>G80*'TABLA SALARIAL 2024 (23 X 2%)'!$I$4</f>
        <v>148.67999999999998</v>
      </c>
      <c r="V80" s="76">
        <v>7</v>
      </c>
      <c r="W80" s="71">
        <f t="shared" si="41"/>
        <v>5018.8599999999997</v>
      </c>
      <c r="X80" s="71">
        <f t="shared" si="53"/>
        <v>1051.54</v>
      </c>
      <c r="Y80" s="71">
        <f t="shared" si="43"/>
        <v>2503.62</v>
      </c>
      <c r="Z80" s="71">
        <f t="shared" si="44"/>
        <v>2742.46</v>
      </c>
      <c r="AA80" s="71">
        <f t="shared" si="45"/>
        <v>6265.21</v>
      </c>
      <c r="AB80" s="71">
        <f t="shared" si="46"/>
        <v>798.14</v>
      </c>
      <c r="AC80" s="71">
        <f t="shared" si="47"/>
        <v>0</v>
      </c>
      <c r="AD80" s="71">
        <f t="shared" si="48"/>
        <v>0</v>
      </c>
      <c r="AE80" s="104">
        <f t="shared" si="49"/>
        <v>18379.829999999998</v>
      </c>
      <c r="AF80" s="5">
        <v>0</v>
      </c>
    </row>
    <row r="81" spans="1:32">
      <c r="A81" s="72">
        <v>143</v>
      </c>
      <c r="B81" s="72" t="s">
        <v>286</v>
      </c>
      <c r="C81" s="72" t="s">
        <v>33</v>
      </c>
      <c r="D81" s="135" t="s">
        <v>79</v>
      </c>
      <c r="E81" s="73" t="s">
        <v>112</v>
      </c>
      <c r="F81" s="70" t="s">
        <v>0</v>
      </c>
      <c r="G81" s="70">
        <v>7</v>
      </c>
      <c r="H81" s="74">
        <v>46302</v>
      </c>
      <c r="I81" s="72" t="s">
        <v>0</v>
      </c>
      <c r="J81" s="72">
        <v>15</v>
      </c>
      <c r="K81" s="72">
        <v>37</v>
      </c>
      <c r="L81" s="75">
        <f>'TABLA SALARIAL 2024 (23 X 2%)'!$H$3</f>
        <v>716.98</v>
      </c>
      <c r="M81" s="75">
        <f>G81*'TABLA SALARIAL 2024 (23 X 2%)'!$I$3</f>
        <v>150.22</v>
      </c>
      <c r="N81" s="75">
        <f t="shared" si="51"/>
        <v>357.66</v>
      </c>
      <c r="O81" s="75">
        <f>'TABLA SALARIAL 2024 (23 X 2%)'!$B$24</f>
        <v>391.78</v>
      </c>
      <c r="P81" s="4">
        <f>'TABLA SALARIAL 2024 (23 X 2%)'!$G$18</f>
        <v>895.03000000000009</v>
      </c>
      <c r="Q81" s="75">
        <f>'TABLA SALARIAL 2024 (23 X 2%)'!$H$5</f>
        <v>114.02</v>
      </c>
      <c r="R81" s="71"/>
      <c r="S81" s="71"/>
      <c r="T81" s="75">
        <f>'TABLA SALARIAL 2024 (23 X 2%)'!$H$4</f>
        <v>710.44</v>
      </c>
      <c r="U81" s="75">
        <f>G81*'TABLA SALARIAL 2024 (23 X 2%)'!$I$4</f>
        <v>148.67999999999998</v>
      </c>
      <c r="V81" s="76">
        <v>7</v>
      </c>
      <c r="W81" s="71">
        <f t="shared" si="41"/>
        <v>5018.8599999999997</v>
      </c>
      <c r="X81" s="71">
        <f t="shared" si="53"/>
        <v>1051.54</v>
      </c>
      <c r="Y81" s="71">
        <f t="shared" si="43"/>
        <v>2503.62</v>
      </c>
      <c r="Z81" s="71">
        <f t="shared" si="44"/>
        <v>2742.46</v>
      </c>
      <c r="AA81" s="71">
        <f t="shared" si="45"/>
        <v>6265.21</v>
      </c>
      <c r="AB81" s="71">
        <f t="shared" si="46"/>
        <v>798.14</v>
      </c>
      <c r="AC81" s="71">
        <f t="shared" si="47"/>
        <v>0</v>
      </c>
      <c r="AD81" s="71">
        <f t="shared" si="48"/>
        <v>0</v>
      </c>
      <c r="AE81" s="104">
        <f t="shared" si="49"/>
        <v>18379.829999999998</v>
      </c>
      <c r="AF81" s="5">
        <v>0</v>
      </c>
    </row>
    <row r="82" spans="1:32">
      <c r="A82" s="72">
        <v>119</v>
      </c>
      <c r="B82" s="72" t="s">
        <v>280</v>
      </c>
      <c r="C82" s="72" t="s">
        <v>41</v>
      </c>
      <c r="D82" s="135" t="s">
        <v>73</v>
      </c>
      <c r="E82" s="73" t="s">
        <v>112</v>
      </c>
      <c r="F82" s="70" t="s">
        <v>0</v>
      </c>
      <c r="G82" s="70">
        <f>'trienios 2025'!F10</f>
        <v>7</v>
      </c>
      <c r="H82" s="74">
        <v>45877</v>
      </c>
      <c r="I82" s="72" t="s">
        <v>0</v>
      </c>
      <c r="J82" s="72">
        <v>15</v>
      </c>
      <c r="K82" s="72">
        <v>37</v>
      </c>
      <c r="L82" s="75">
        <f>'TABLA SALARIAL 2024 (23 X 2%)'!$H$3</f>
        <v>716.98</v>
      </c>
      <c r="M82" s="75">
        <f>G82*'TABLA SALARIAL 2024 (23 X 2%)'!$I$3</f>
        <v>150.22</v>
      </c>
      <c r="N82" s="75">
        <f t="shared" si="51"/>
        <v>357.66</v>
      </c>
      <c r="O82" s="75">
        <f>'TABLA SALARIAL 2024 (23 X 2%)'!$B$24</f>
        <v>391.78</v>
      </c>
      <c r="P82" s="4">
        <f>'TABLA SALARIAL 2024 (23 X 2%)'!$G$18</f>
        <v>895.03000000000009</v>
      </c>
      <c r="Q82" s="75">
        <f>'TABLA SALARIAL 2024 (23 X 2%)'!$H$5</f>
        <v>114.02</v>
      </c>
      <c r="R82" s="71"/>
      <c r="S82" s="75"/>
      <c r="T82" s="75">
        <f>'TABLA SALARIAL 2024 (23 X 2%)'!$H$4</f>
        <v>710.44</v>
      </c>
      <c r="U82" s="75">
        <f>G82*'TABLA SALARIAL 2024 (23 X 2%)'!$I$4</f>
        <v>148.67999999999998</v>
      </c>
      <c r="V82" s="76">
        <v>7</v>
      </c>
      <c r="W82" s="71">
        <f t="shared" si="41"/>
        <v>5018.8599999999997</v>
      </c>
      <c r="X82" s="71">
        <f t="shared" si="53"/>
        <v>1051.54</v>
      </c>
      <c r="Y82" s="71">
        <f t="shared" si="43"/>
        <v>2503.62</v>
      </c>
      <c r="Z82" s="71">
        <f t="shared" si="44"/>
        <v>2742.46</v>
      </c>
      <c r="AA82" s="71">
        <f t="shared" si="45"/>
        <v>6265.21</v>
      </c>
      <c r="AB82" s="71">
        <f t="shared" si="46"/>
        <v>798.14</v>
      </c>
      <c r="AC82" s="71">
        <f t="shared" si="47"/>
        <v>0</v>
      </c>
      <c r="AD82" s="71">
        <f t="shared" si="48"/>
        <v>0</v>
      </c>
      <c r="AE82" s="104">
        <f t="shared" si="49"/>
        <v>18379.829999999998</v>
      </c>
      <c r="AF82" s="5">
        <v>0</v>
      </c>
    </row>
    <row r="83" spans="1:32">
      <c r="A83" s="72">
        <v>47</v>
      </c>
      <c r="B83" s="72" t="s">
        <v>255</v>
      </c>
      <c r="C83" s="72" t="s">
        <v>46</v>
      </c>
      <c r="D83" s="135" t="s">
        <v>58</v>
      </c>
      <c r="E83" s="73" t="s">
        <v>112</v>
      </c>
      <c r="F83" s="70" t="s">
        <v>0</v>
      </c>
      <c r="G83" s="70">
        <v>8</v>
      </c>
      <c r="H83" s="74">
        <v>46151</v>
      </c>
      <c r="I83" s="72" t="s">
        <v>0</v>
      </c>
      <c r="J83" s="72">
        <v>15</v>
      </c>
      <c r="K83" s="72">
        <v>37</v>
      </c>
      <c r="L83" s="75">
        <f>'TABLA SALARIAL 2024 (23 X 2%)'!$H$3</f>
        <v>716.98</v>
      </c>
      <c r="M83" s="75">
        <f>G83*'TABLA SALARIAL 2024 (23 X 2%)'!$I$3</f>
        <v>171.68</v>
      </c>
      <c r="N83" s="75">
        <f t="shared" si="51"/>
        <v>361.2</v>
      </c>
      <c r="O83" s="75">
        <f>'TABLA SALARIAL 2024 (23 X 2%)'!$B$24</f>
        <v>391.78</v>
      </c>
      <c r="P83" s="4">
        <f>'TABLA SALARIAL 2024 (23 X 2%)'!$G$18</f>
        <v>895.03000000000009</v>
      </c>
      <c r="Q83" s="75">
        <f>'TABLA SALARIAL 2024 (23 X 2%)'!$H$5</f>
        <v>114.02</v>
      </c>
      <c r="R83" s="71"/>
      <c r="S83" s="75"/>
      <c r="T83" s="75">
        <f>'TABLA SALARIAL 2024 (23 X 2%)'!$H$4</f>
        <v>710.44</v>
      </c>
      <c r="U83" s="75">
        <f>G83*'TABLA SALARIAL 2024 (23 X 2%)'!$I$4</f>
        <v>169.92</v>
      </c>
      <c r="V83" s="76">
        <v>7</v>
      </c>
      <c r="W83" s="71">
        <f t="shared" si="41"/>
        <v>5018.8599999999997</v>
      </c>
      <c r="X83" s="71">
        <f>ROUND(M83*V83,2)</f>
        <v>1201.76</v>
      </c>
      <c r="Y83" s="71">
        <f t="shared" si="43"/>
        <v>2528.4</v>
      </c>
      <c r="Z83" s="71">
        <f t="shared" si="44"/>
        <v>2742.46</v>
      </c>
      <c r="AA83" s="71">
        <f t="shared" si="45"/>
        <v>6265.21</v>
      </c>
      <c r="AB83" s="71">
        <f t="shared" si="46"/>
        <v>798.14</v>
      </c>
      <c r="AC83" s="71">
        <f t="shared" si="47"/>
        <v>0</v>
      </c>
      <c r="AD83" s="71">
        <f t="shared" si="48"/>
        <v>0</v>
      </c>
      <c r="AE83" s="104">
        <f t="shared" si="49"/>
        <v>18554.829999999998</v>
      </c>
      <c r="AF83" s="5">
        <v>0</v>
      </c>
    </row>
    <row r="84" spans="1:32">
      <c r="A84" s="72">
        <v>147</v>
      </c>
      <c r="B84" s="72" t="s">
        <v>289</v>
      </c>
      <c r="C84" s="72" t="s">
        <v>39</v>
      </c>
      <c r="D84" s="135" t="s">
        <v>81</v>
      </c>
      <c r="E84" s="73" t="s">
        <v>112</v>
      </c>
      <c r="F84" s="70" t="s">
        <v>0</v>
      </c>
      <c r="G84" s="70">
        <v>7</v>
      </c>
      <c r="H84" s="74">
        <v>46302</v>
      </c>
      <c r="I84" s="72" t="s">
        <v>0</v>
      </c>
      <c r="J84" s="72">
        <v>15</v>
      </c>
      <c r="K84" s="72">
        <v>37</v>
      </c>
      <c r="L84" s="75">
        <f>'TABLA SALARIAL 2024 (23 X 2%)'!$H$3</f>
        <v>716.98</v>
      </c>
      <c r="M84" s="75">
        <f>G84*'TABLA SALARIAL 2024 (23 X 2%)'!$I$3</f>
        <v>150.22</v>
      </c>
      <c r="N84" s="75">
        <f t="shared" si="51"/>
        <v>357.66</v>
      </c>
      <c r="O84" s="75">
        <f>'TABLA SALARIAL 2024 (23 X 2%)'!$B$24</f>
        <v>391.78</v>
      </c>
      <c r="P84" s="4">
        <f>'TABLA SALARIAL 2024 (23 X 2%)'!$G$18</f>
        <v>895.03000000000009</v>
      </c>
      <c r="Q84" s="75">
        <f>'TABLA SALARIAL 2024 (23 X 2%)'!$H$5</f>
        <v>114.02</v>
      </c>
      <c r="R84" s="71"/>
      <c r="S84" s="75"/>
      <c r="T84" s="75">
        <f>'TABLA SALARIAL 2024 (23 X 2%)'!$H$4</f>
        <v>710.44</v>
      </c>
      <c r="U84" s="75">
        <f>G84*'TABLA SALARIAL 2024 (23 X 2%)'!$I$4</f>
        <v>148.67999999999998</v>
      </c>
      <c r="V84" s="76">
        <v>7</v>
      </c>
      <c r="W84" s="71">
        <f t="shared" si="41"/>
        <v>5018.8599999999997</v>
      </c>
      <c r="X84" s="71">
        <f>ROUND(M84*V84,2)</f>
        <v>1051.54</v>
      </c>
      <c r="Y84" s="71">
        <f t="shared" si="43"/>
        <v>2503.62</v>
      </c>
      <c r="Z84" s="71">
        <f>ROUND(O84*V84,2)</f>
        <v>2742.46</v>
      </c>
      <c r="AA84" s="71">
        <f t="shared" si="45"/>
        <v>6265.21</v>
      </c>
      <c r="AB84" s="71">
        <f t="shared" si="46"/>
        <v>798.14</v>
      </c>
      <c r="AC84" s="71">
        <f t="shared" si="47"/>
        <v>0</v>
      </c>
      <c r="AD84" s="71">
        <f t="shared" si="48"/>
        <v>0</v>
      </c>
      <c r="AE84" s="104">
        <f t="shared" si="49"/>
        <v>18379.829999999998</v>
      </c>
      <c r="AF84" s="5">
        <v>0</v>
      </c>
    </row>
    <row r="85" spans="1:32">
      <c r="A85" s="72">
        <v>142</v>
      </c>
      <c r="B85" s="72" t="s">
        <v>285</v>
      </c>
      <c r="C85" s="72" t="s">
        <v>18</v>
      </c>
      <c r="D85" s="135" t="s">
        <v>78</v>
      </c>
      <c r="E85" s="73" t="s">
        <v>112</v>
      </c>
      <c r="F85" s="70" t="s">
        <v>0</v>
      </c>
      <c r="G85" s="70">
        <v>7</v>
      </c>
      <c r="H85" s="74">
        <v>46302</v>
      </c>
      <c r="I85" s="72" t="s">
        <v>0</v>
      </c>
      <c r="J85" s="72">
        <v>15</v>
      </c>
      <c r="K85" s="72">
        <v>37</v>
      </c>
      <c r="L85" s="75">
        <f>'TABLA SALARIAL 2024 (23 X 2%)'!$H$3</f>
        <v>716.98</v>
      </c>
      <c r="M85" s="75">
        <f>G85*'TABLA SALARIAL 2024 (23 X 2%)'!$I$3</f>
        <v>150.22</v>
      </c>
      <c r="N85" s="75">
        <f t="shared" si="51"/>
        <v>357.66</v>
      </c>
      <c r="O85" s="75">
        <f>'TABLA SALARIAL 2024 (23 X 2%)'!$B$24</f>
        <v>391.78</v>
      </c>
      <c r="P85" s="4">
        <f>'TABLA SALARIAL 2024 (23 X 2%)'!$G$18</f>
        <v>895.03000000000009</v>
      </c>
      <c r="Q85" s="75">
        <f>'TABLA SALARIAL 2024 (23 X 2%)'!$H$5</f>
        <v>114.02</v>
      </c>
      <c r="R85" s="71"/>
      <c r="S85" s="75"/>
      <c r="T85" s="75">
        <f>'TABLA SALARIAL 2024 (23 X 2%)'!$H$4</f>
        <v>710.44</v>
      </c>
      <c r="U85" s="75">
        <f>G85*'TABLA SALARIAL 2024 (23 X 2%)'!$I$4</f>
        <v>148.67999999999998</v>
      </c>
      <c r="V85" s="76">
        <v>7</v>
      </c>
      <c r="W85" s="71">
        <f t="shared" si="41"/>
        <v>5018.8599999999997</v>
      </c>
      <c r="X85" s="71">
        <f>ROUND(M85*V85,2)</f>
        <v>1051.54</v>
      </c>
      <c r="Y85" s="71">
        <f t="shared" si="43"/>
        <v>2503.62</v>
      </c>
      <c r="Z85" s="71">
        <f t="shared" si="44"/>
        <v>2742.46</v>
      </c>
      <c r="AA85" s="71">
        <f t="shared" si="45"/>
        <v>6265.21</v>
      </c>
      <c r="AB85" s="71">
        <f t="shared" si="46"/>
        <v>798.14</v>
      </c>
      <c r="AC85" s="71">
        <f t="shared" si="47"/>
        <v>0</v>
      </c>
      <c r="AD85" s="71">
        <f t="shared" si="48"/>
        <v>0</v>
      </c>
      <c r="AE85" s="104">
        <f t="shared" si="49"/>
        <v>18379.829999999998</v>
      </c>
      <c r="AF85" s="5">
        <v>0</v>
      </c>
    </row>
    <row r="86" spans="1:32">
      <c r="A86" s="72">
        <v>141</v>
      </c>
      <c r="B86" s="72" t="s">
        <v>284</v>
      </c>
      <c r="C86" s="72" t="s">
        <v>42</v>
      </c>
      <c r="D86" s="135" t="s">
        <v>77</v>
      </c>
      <c r="E86" s="73" t="s">
        <v>112</v>
      </c>
      <c r="F86" s="70" t="s">
        <v>0</v>
      </c>
      <c r="G86" s="70">
        <v>7</v>
      </c>
      <c r="H86" s="74">
        <v>46298</v>
      </c>
      <c r="I86" s="72" t="s">
        <v>0</v>
      </c>
      <c r="J86" s="72">
        <v>15</v>
      </c>
      <c r="K86" s="72">
        <v>37</v>
      </c>
      <c r="L86" s="75">
        <f>'TABLA SALARIAL 2024 (23 X 2%)'!$H$3</f>
        <v>716.98</v>
      </c>
      <c r="M86" s="75">
        <f>G86*'TABLA SALARIAL 2024 (23 X 2%)'!$I$3</f>
        <v>150.22</v>
      </c>
      <c r="N86" s="75">
        <f t="shared" si="51"/>
        <v>357.66</v>
      </c>
      <c r="O86" s="75">
        <f>'TABLA SALARIAL 2024 (23 X 2%)'!$B$24</f>
        <v>391.78</v>
      </c>
      <c r="P86" s="4">
        <f>'TABLA SALARIAL 2024 (23 X 2%)'!$G$18</f>
        <v>895.03000000000009</v>
      </c>
      <c r="Q86" s="75">
        <f>'TABLA SALARIAL 2024 (23 X 2%)'!$H$5</f>
        <v>114.02</v>
      </c>
      <c r="R86" s="71"/>
      <c r="S86" s="75"/>
      <c r="T86" s="75">
        <f>'TABLA SALARIAL 2024 (23 X 2%)'!$H$4</f>
        <v>710.44</v>
      </c>
      <c r="U86" s="75">
        <f>G86*'TABLA SALARIAL 2024 (23 X 2%)'!$I$4</f>
        <v>148.67999999999998</v>
      </c>
      <c r="V86" s="76">
        <v>7</v>
      </c>
      <c r="W86" s="71">
        <f t="shared" si="41"/>
        <v>5018.8599999999997</v>
      </c>
      <c r="X86" s="71">
        <f>ROUND(M86*V86,2)</f>
        <v>1051.54</v>
      </c>
      <c r="Y86" s="71">
        <f t="shared" si="43"/>
        <v>2503.62</v>
      </c>
      <c r="Z86" s="71">
        <f t="shared" si="44"/>
        <v>2742.46</v>
      </c>
      <c r="AA86" s="71">
        <f t="shared" si="45"/>
        <v>6265.21</v>
      </c>
      <c r="AB86" s="71">
        <f t="shared" si="46"/>
        <v>798.14</v>
      </c>
      <c r="AC86" s="71">
        <f t="shared" si="47"/>
        <v>0</v>
      </c>
      <c r="AD86" s="71">
        <f t="shared" si="48"/>
        <v>0</v>
      </c>
      <c r="AE86" s="104">
        <f t="shared" si="49"/>
        <v>18379.829999999998</v>
      </c>
      <c r="AF86" s="5">
        <v>0</v>
      </c>
    </row>
    <row r="87" spans="1:32">
      <c r="A87" s="72">
        <v>70</v>
      </c>
      <c r="B87" s="72" t="s">
        <v>276</v>
      </c>
      <c r="C87" s="72" t="s">
        <v>38</v>
      </c>
      <c r="D87" s="139" t="s">
        <v>68</v>
      </c>
      <c r="E87" s="73" t="s">
        <v>112</v>
      </c>
      <c r="F87" s="70" t="s">
        <v>0</v>
      </c>
      <c r="G87" s="70">
        <f>'trienios 2025'!F11</f>
        <v>7</v>
      </c>
      <c r="H87" s="74">
        <v>45780</v>
      </c>
      <c r="I87" s="72" t="s">
        <v>0</v>
      </c>
      <c r="J87" s="72">
        <v>15</v>
      </c>
      <c r="K87" s="72">
        <v>37</v>
      </c>
      <c r="L87" s="75">
        <f>'TABLA SALARIAL 2024 (23 X 2%)'!$H$3</f>
        <v>716.98</v>
      </c>
      <c r="M87" s="75">
        <f>G87*'TABLA SALARIAL 2024 (23 X 2%)'!$I$3</f>
        <v>150.22</v>
      </c>
      <c r="N87" s="75">
        <f t="shared" si="51"/>
        <v>357.66</v>
      </c>
      <c r="O87" s="75">
        <f>'TABLA SALARIAL 2024 (23 X 2%)'!$B$24</f>
        <v>391.78</v>
      </c>
      <c r="P87" s="4">
        <f>'TABLA SALARIAL 2024 (23 X 2%)'!$G$18</f>
        <v>895.03000000000009</v>
      </c>
      <c r="Q87" s="75">
        <f>'TABLA SALARIAL 2024 (23 X 2%)'!$H$5</f>
        <v>114.02</v>
      </c>
      <c r="R87" s="71"/>
      <c r="S87" s="75"/>
      <c r="T87" s="75">
        <f>'TABLA SALARIAL 2024 (23 X 2%)'!$H$4</f>
        <v>710.44</v>
      </c>
      <c r="U87" s="75">
        <f>G87*'TABLA SALARIAL 2024 (23 X 2%)'!$I$4</f>
        <v>148.67999999999998</v>
      </c>
      <c r="V87" s="76">
        <v>7</v>
      </c>
      <c r="W87" s="71">
        <f t="shared" si="41"/>
        <v>5018.8599999999997</v>
      </c>
      <c r="X87" s="71">
        <f>ROUND(M87*V87,2)</f>
        <v>1051.54</v>
      </c>
      <c r="Y87" s="71">
        <f t="shared" si="43"/>
        <v>2503.62</v>
      </c>
      <c r="Z87" s="71">
        <f t="shared" si="44"/>
        <v>2742.46</v>
      </c>
      <c r="AA87" s="71">
        <f t="shared" si="45"/>
        <v>6265.21</v>
      </c>
      <c r="AB87" s="71">
        <f t="shared" si="46"/>
        <v>798.14</v>
      </c>
      <c r="AC87" s="71">
        <f t="shared" si="47"/>
        <v>0</v>
      </c>
      <c r="AD87" s="71">
        <f t="shared" si="48"/>
        <v>0</v>
      </c>
      <c r="AE87" s="104">
        <f t="shared" si="49"/>
        <v>18379.829999999998</v>
      </c>
      <c r="AF87" s="5">
        <v>0</v>
      </c>
    </row>
    <row r="88" spans="1:32">
      <c r="A88" s="72">
        <v>117</v>
      </c>
      <c r="B88" s="72" t="s">
        <v>332</v>
      </c>
      <c r="C88" s="72" t="s">
        <v>31</v>
      </c>
      <c r="D88" s="139" t="s">
        <v>210</v>
      </c>
      <c r="E88" s="73" t="s">
        <v>112</v>
      </c>
      <c r="F88" s="70" t="s">
        <v>0</v>
      </c>
      <c r="G88" s="70"/>
      <c r="H88" s="74">
        <v>45840</v>
      </c>
      <c r="I88" s="72" t="s">
        <v>0</v>
      </c>
      <c r="J88" s="72">
        <v>15</v>
      </c>
      <c r="K88" s="72">
        <v>37</v>
      </c>
      <c r="L88" s="75">
        <v>0</v>
      </c>
      <c r="M88" s="75">
        <f>G88*'TABLA SALARIAL 2024 (23 X 2%)'!$I$3</f>
        <v>0</v>
      </c>
      <c r="N88" s="75">
        <v>0</v>
      </c>
      <c r="O88" s="75">
        <v>0</v>
      </c>
      <c r="P88" s="4">
        <v>0</v>
      </c>
      <c r="Q88" s="75">
        <v>0</v>
      </c>
      <c r="R88" s="71"/>
      <c r="S88" s="75"/>
      <c r="T88" s="75">
        <v>0</v>
      </c>
      <c r="U88" s="75">
        <v>0</v>
      </c>
      <c r="V88" s="128">
        <v>8</v>
      </c>
      <c r="W88" s="71">
        <f t="shared" si="41"/>
        <v>0</v>
      </c>
      <c r="X88" s="71">
        <v>0</v>
      </c>
      <c r="Y88" s="71">
        <f t="shared" si="43"/>
        <v>0</v>
      </c>
      <c r="Z88" s="71">
        <f t="shared" si="44"/>
        <v>0</v>
      </c>
      <c r="AA88" s="71">
        <f t="shared" si="45"/>
        <v>0</v>
      </c>
      <c r="AB88" s="71">
        <f t="shared" si="46"/>
        <v>0</v>
      </c>
      <c r="AC88" s="71">
        <f t="shared" si="47"/>
        <v>0</v>
      </c>
      <c r="AD88" s="71">
        <f t="shared" si="48"/>
        <v>0</v>
      </c>
      <c r="AE88" s="104">
        <f t="shared" si="49"/>
        <v>0</v>
      </c>
      <c r="AF88" s="5">
        <f t="shared" si="50"/>
        <v>0</v>
      </c>
    </row>
    <row r="89" spans="1:32">
      <c r="A89" s="83"/>
      <c r="B89" s="72" t="s">
        <v>339</v>
      </c>
      <c r="C89" s="72" t="s">
        <v>10</v>
      </c>
      <c r="D89" s="142" t="s">
        <v>169</v>
      </c>
      <c r="E89" s="73" t="s">
        <v>112</v>
      </c>
      <c r="F89" s="70" t="s">
        <v>0</v>
      </c>
      <c r="G89" s="70"/>
      <c r="H89" s="74"/>
      <c r="I89" s="72" t="s">
        <v>0</v>
      </c>
      <c r="J89" s="72">
        <v>15</v>
      </c>
      <c r="K89" s="72">
        <v>37</v>
      </c>
      <c r="L89" s="75">
        <v>0</v>
      </c>
      <c r="M89" s="75">
        <v>0</v>
      </c>
      <c r="N89" s="75">
        <v>0</v>
      </c>
      <c r="O89" s="75">
        <v>0</v>
      </c>
      <c r="P89" s="4">
        <v>0</v>
      </c>
      <c r="Q89" s="75">
        <v>0</v>
      </c>
      <c r="R89" s="71"/>
      <c r="S89" s="75"/>
      <c r="T89" s="75">
        <v>0</v>
      </c>
      <c r="U89" s="75">
        <f t="shared" ref="U89:U92" si="55">20.62*G89</f>
        <v>0</v>
      </c>
      <c r="V89" s="128">
        <v>0.03</v>
      </c>
      <c r="W89" s="71">
        <f t="shared" si="41"/>
        <v>0</v>
      </c>
      <c r="X89" s="71">
        <f t="shared" ref="X89:X92" si="56">ROUND(M89*V89,2)</f>
        <v>0</v>
      </c>
      <c r="Y89" s="71">
        <f t="shared" si="43"/>
        <v>0</v>
      </c>
      <c r="Z89" s="71">
        <f t="shared" si="44"/>
        <v>0</v>
      </c>
      <c r="AA89" s="71">
        <f t="shared" si="45"/>
        <v>0</v>
      </c>
      <c r="AB89" s="71">
        <f t="shared" si="46"/>
        <v>0</v>
      </c>
      <c r="AC89" s="71">
        <f t="shared" si="47"/>
        <v>0</v>
      </c>
      <c r="AD89" s="71">
        <f t="shared" si="48"/>
        <v>0</v>
      </c>
      <c r="AE89" s="104">
        <f t="shared" si="49"/>
        <v>0</v>
      </c>
      <c r="AF89" s="5">
        <f t="shared" si="50"/>
        <v>0</v>
      </c>
    </row>
    <row r="90" spans="1:32">
      <c r="A90" s="72">
        <v>69</v>
      </c>
      <c r="B90" s="72" t="s">
        <v>275</v>
      </c>
      <c r="C90" s="72" t="s">
        <v>40</v>
      </c>
      <c r="D90" s="139" t="s">
        <v>204</v>
      </c>
      <c r="E90" s="73" t="s">
        <v>112</v>
      </c>
      <c r="F90" s="70" t="s">
        <v>0</v>
      </c>
      <c r="G90" s="70">
        <f>'trienios 2025'!F12</f>
        <v>7</v>
      </c>
      <c r="H90" s="74">
        <v>45779</v>
      </c>
      <c r="I90" s="72" t="s">
        <v>0</v>
      </c>
      <c r="J90" s="72">
        <v>15</v>
      </c>
      <c r="K90" s="72">
        <v>37</v>
      </c>
      <c r="L90" s="75">
        <f>'TABLA SALARIAL 2024 (23 X 2%)'!$H$3</f>
        <v>716.98</v>
      </c>
      <c r="M90" s="75">
        <f>G90*'TABLA SALARIAL 2024 (23 X 2%)'!$I$3</f>
        <v>150.22</v>
      </c>
      <c r="N90" s="75">
        <f t="shared" si="51"/>
        <v>357.66</v>
      </c>
      <c r="O90" s="75">
        <f>'TABLA SALARIAL 2024 (23 X 2%)'!$B$24</f>
        <v>391.78</v>
      </c>
      <c r="P90" s="4">
        <f>'TABLA SALARIAL 2024 (23 X 2%)'!$G$18</f>
        <v>895.03000000000009</v>
      </c>
      <c r="Q90" s="75">
        <f>'TABLA SALARIAL 2024 (23 X 2%)'!$H$5</f>
        <v>114.02</v>
      </c>
      <c r="R90" s="71"/>
      <c r="S90" s="75"/>
      <c r="T90" s="75">
        <f>'TABLA SALARIAL 2024 (23 X 2%)'!$H$4</f>
        <v>710.44</v>
      </c>
      <c r="U90" s="75">
        <f>G90*'TABLA SALARIAL 2024 (23 X 2%)'!$I$4</f>
        <v>148.67999999999998</v>
      </c>
      <c r="V90" s="76">
        <v>7</v>
      </c>
      <c r="W90" s="71">
        <f t="shared" si="41"/>
        <v>5018.8599999999997</v>
      </c>
      <c r="X90" s="71">
        <f t="shared" si="56"/>
        <v>1051.54</v>
      </c>
      <c r="Y90" s="71">
        <f t="shared" si="43"/>
        <v>2503.62</v>
      </c>
      <c r="Z90" s="71">
        <f t="shared" si="44"/>
        <v>2742.46</v>
      </c>
      <c r="AA90" s="71">
        <f t="shared" si="45"/>
        <v>6265.21</v>
      </c>
      <c r="AB90" s="71">
        <f t="shared" si="46"/>
        <v>798.14</v>
      </c>
      <c r="AC90" s="71">
        <f t="shared" si="47"/>
        <v>0</v>
      </c>
      <c r="AD90" s="71">
        <f t="shared" si="48"/>
        <v>0</v>
      </c>
      <c r="AE90" s="104">
        <f t="shared" si="49"/>
        <v>18379.829999999998</v>
      </c>
      <c r="AF90" s="5">
        <v>0</v>
      </c>
    </row>
    <row r="91" spans="1:32">
      <c r="A91" s="72">
        <v>127</v>
      </c>
      <c r="B91" s="72" t="s">
        <v>281</v>
      </c>
      <c r="C91" s="72" t="s">
        <v>37</v>
      </c>
      <c r="D91" s="142" t="s">
        <v>344</v>
      </c>
      <c r="E91" s="73" t="s">
        <v>112</v>
      </c>
      <c r="F91" s="70" t="s">
        <v>0</v>
      </c>
      <c r="G91" s="70"/>
      <c r="H91" s="74"/>
      <c r="I91" s="72" t="s">
        <v>0</v>
      </c>
      <c r="J91" s="72">
        <v>15</v>
      </c>
      <c r="K91" s="72">
        <v>37</v>
      </c>
      <c r="L91" s="75">
        <v>0</v>
      </c>
      <c r="M91" s="75">
        <v>0</v>
      </c>
      <c r="N91" s="75">
        <v>0</v>
      </c>
      <c r="O91" s="75">
        <v>0</v>
      </c>
      <c r="P91" s="4">
        <v>0</v>
      </c>
      <c r="Q91" s="75">
        <v>0</v>
      </c>
      <c r="R91" s="71"/>
      <c r="S91" s="75"/>
      <c r="T91" s="75">
        <v>0</v>
      </c>
      <c r="U91" s="75">
        <f t="shared" si="55"/>
        <v>0</v>
      </c>
      <c r="V91" s="76">
        <v>12</v>
      </c>
      <c r="W91" s="71">
        <f t="shared" si="41"/>
        <v>0</v>
      </c>
      <c r="X91" s="71">
        <f t="shared" si="56"/>
        <v>0</v>
      </c>
      <c r="Y91" s="71">
        <f t="shared" si="43"/>
        <v>0</v>
      </c>
      <c r="Z91" s="71">
        <f t="shared" si="44"/>
        <v>0</v>
      </c>
      <c r="AA91" s="71">
        <f t="shared" si="45"/>
        <v>0</v>
      </c>
      <c r="AB91" s="71">
        <f t="shared" si="46"/>
        <v>0</v>
      </c>
      <c r="AC91" s="71">
        <f t="shared" si="47"/>
        <v>0</v>
      </c>
      <c r="AD91" s="71">
        <f t="shared" si="48"/>
        <v>0</v>
      </c>
      <c r="AE91" s="104">
        <f t="shared" si="49"/>
        <v>0</v>
      </c>
      <c r="AF91" s="5">
        <f>AE91-X91</f>
        <v>0</v>
      </c>
    </row>
    <row r="92" spans="1:32">
      <c r="A92" s="83"/>
      <c r="B92" s="72" t="s">
        <v>338</v>
      </c>
      <c r="C92" s="72" t="s">
        <v>36</v>
      </c>
      <c r="D92" s="142" t="s">
        <v>169</v>
      </c>
      <c r="E92" s="73" t="s">
        <v>112</v>
      </c>
      <c r="F92" s="70" t="s">
        <v>0</v>
      </c>
      <c r="G92" s="70"/>
      <c r="H92" s="74"/>
      <c r="I92" s="72" t="s">
        <v>0</v>
      </c>
      <c r="J92" s="72">
        <v>15</v>
      </c>
      <c r="K92" s="72">
        <v>37</v>
      </c>
      <c r="L92" s="75">
        <v>0</v>
      </c>
      <c r="M92" s="75">
        <f t="shared" ref="M92" si="57">(20.04*G92)</f>
        <v>0</v>
      </c>
      <c r="N92" s="75">
        <v>0</v>
      </c>
      <c r="O92" s="75">
        <v>0</v>
      </c>
      <c r="P92" s="4">
        <v>0</v>
      </c>
      <c r="Q92" s="75">
        <v>0</v>
      </c>
      <c r="R92" s="71"/>
      <c r="S92" s="75"/>
      <c r="T92" s="75">
        <v>0</v>
      </c>
      <c r="U92" s="75">
        <f t="shared" si="55"/>
        <v>0</v>
      </c>
      <c r="V92" s="128">
        <v>0.03</v>
      </c>
      <c r="W92" s="71">
        <f t="shared" si="41"/>
        <v>0</v>
      </c>
      <c r="X92" s="71">
        <f t="shared" si="56"/>
        <v>0</v>
      </c>
      <c r="Y92" s="71">
        <f t="shared" si="43"/>
        <v>0</v>
      </c>
      <c r="Z92" s="71">
        <f t="shared" si="44"/>
        <v>0</v>
      </c>
      <c r="AA92" s="71">
        <f t="shared" si="45"/>
        <v>0</v>
      </c>
      <c r="AB92" s="71">
        <f t="shared" si="46"/>
        <v>0</v>
      </c>
      <c r="AC92" s="71">
        <f t="shared" si="47"/>
        <v>0</v>
      </c>
      <c r="AD92" s="71">
        <f t="shared" si="48"/>
        <v>0</v>
      </c>
      <c r="AE92" s="104">
        <f t="shared" si="49"/>
        <v>0</v>
      </c>
      <c r="AF92" s="5">
        <f t="shared" si="50"/>
        <v>0</v>
      </c>
    </row>
    <row r="93" spans="1:32">
      <c r="A93" s="72">
        <v>174</v>
      </c>
      <c r="B93" s="72" t="s">
        <v>294</v>
      </c>
      <c r="C93" s="72" t="s">
        <v>24</v>
      </c>
      <c r="D93" s="139" t="s">
        <v>205</v>
      </c>
      <c r="E93" s="73" t="s">
        <v>112</v>
      </c>
      <c r="F93" s="70" t="s">
        <v>0</v>
      </c>
      <c r="G93" s="70">
        <v>7</v>
      </c>
      <c r="H93" s="74">
        <v>46522</v>
      </c>
      <c r="I93" s="72" t="s">
        <v>0</v>
      </c>
      <c r="J93" s="72">
        <v>15</v>
      </c>
      <c r="K93" s="72">
        <v>37</v>
      </c>
      <c r="L93" s="75">
        <f>'TABLA SALARIAL 2024 (23 X 2%)'!$H$3</f>
        <v>716.98</v>
      </c>
      <c r="M93" s="75">
        <f>G93*'TABLA SALARIAL 2024 (23 X 2%)'!$I$3</f>
        <v>150.22</v>
      </c>
      <c r="N93" s="75">
        <f t="shared" si="51"/>
        <v>357.66</v>
      </c>
      <c r="O93" s="75">
        <f>'TABLA SALARIAL 2024 (23 X 2%)'!$B$24</f>
        <v>391.78</v>
      </c>
      <c r="P93" s="4">
        <f>'TABLA SALARIAL 2024 (23 X 2%)'!$G$18</f>
        <v>895.03000000000009</v>
      </c>
      <c r="Q93" s="75">
        <f>'TABLA SALARIAL 2024 (23 X 2%)'!$H$5</f>
        <v>114.02</v>
      </c>
      <c r="R93" s="71"/>
      <c r="S93" s="75"/>
      <c r="T93" s="75">
        <f>'TABLA SALARIAL 2024 (23 X 2%)'!$H$4</f>
        <v>710.44</v>
      </c>
      <c r="U93" s="75">
        <f>G93*'TABLA SALARIAL 2024 (23 X 2%)'!$I$4</f>
        <v>148.67999999999998</v>
      </c>
      <c r="V93" s="76">
        <v>7</v>
      </c>
      <c r="W93" s="71">
        <f t="shared" si="41"/>
        <v>5018.8599999999997</v>
      </c>
      <c r="X93" s="71">
        <f>ROUND(M93*V93,2)</f>
        <v>1051.54</v>
      </c>
      <c r="Y93" s="71">
        <f t="shared" si="43"/>
        <v>2503.62</v>
      </c>
      <c r="Z93" s="71">
        <f t="shared" si="44"/>
        <v>2742.46</v>
      </c>
      <c r="AA93" s="71">
        <f t="shared" si="45"/>
        <v>6265.21</v>
      </c>
      <c r="AB93" s="71">
        <f t="shared" si="46"/>
        <v>798.14</v>
      </c>
      <c r="AC93" s="71">
        <f t="shared" si="47"/>
        <v>0</v>
      </c>
      <c r="AD93" s="71">
        <f t="shared" si="48"/>
        <v>0</v>
      </c>
      <c r="AE93" s="104">
        <f t="shared" si="49"/>
        <v>18379.829999999998</v>
      </c>
      <c r="AF93" s="5">
        <v>0</v>
      </c>
    </row>
    <row r="94" spans="1:32">
      <c r="A94" s="72">
        <v>175</v>
      </c>
      <c r="B94" s="72" t="s">
        <v>295</v>
      </c>
      <c r="C94" s="72" t="s">
        <v>30</v>
      </c>
      <c r="D94" s="139" t="s">
        <v>206</v>
      </c>
      <c r="E94" s="73" t="s">
        <v>112</v>
      </c>
      <c r="F94" s="70" t="s">
        <v>0</v>
      </c>
      <c r="G94" s="70">
        <v>7</v>
      </c>
      <c r="H94" s="74">
        <v>46522</v>
      </c>
      <c r="I94" s="72" t="s">
        <v>0</v>
      </c>
      <c r="J94" s="72">
        <v>15</v>
      </c>
      <c r="K94" s="72">
        <v>37</v>
      </c>
      <c r="L94" s="75">
        <f>'TABLA SALARIAL 2024 (23 X 2%)'!$H$3</f>
        <v>716.98</v>
      </c>
      <c r="M94" s="75">
        <f>G94*'TABLA SALARIAL 2024 (23 X 2%)'!$I$3</f>
        <v>150.22</v>
      </c>
      <c r="N94" s="75">
        <f t="shared" si="51"/>
        <v>357.66</v>
      </c>
      <c r="O94" s="75">
        <f>'TABLA SALARIAL 2024 (23 X 2%)'!$B$24</f>
        <v>391.78</v>
      </c>
      <c r="P94" s="4">
        <f>'TABLA SALARIAL 2024 (23 X 2%)'!$G$18</f>
        <v>895.03000000000009</v>
      </c>
      <c r="Q94" s="75">
        <f>'TABLA SALARIAL 2024 (23 X 2%)'!$H$5</f>
        <v>114.02</v>
      </c>
      <c r="R94" s="71"/>
      <c r="S94" s="75"/>
      <c r="T94" s="75">
        <f>'TABLA SALARIAL 2024 (23 X 2%)'!$H$4</f>
        <v>710.44</v>
      </c>
      <c r="U94" s="75">
        <f>G94*'TABLA SALARIAL 2024 (23 X 2%)'!$I$4</f>
        <v>148.67999999999998</v>
      </c>
      <c r="V94" s="76">
        <v>7</v>
      </c>
      <c r="W94" s="71">
        <f t="shared" si="41"/>
        <v>5018.8599999999997</v>
      </c>
      <c r="X94" s="71">
        <f>ROUND(M94*V94,2)</f>
        <v>1051.54</v>
      </c>
      <c r="Y94" s="71">
        <f t="shared" si="43"/>
        <v>2503.62</v>
      </c>
      <c r="Z94" s="71">
        <f t="shared" si="44"/>
        <v>2742.46</v>
      </c>
      <c r="AA94" s="71">
        <f t="shared" si="45"/>
        <v>6265.21</v>
      </c>
      <c r="AB94" s="71">
        <f t="shared" si="46"/>
        <v>798.14</v>
      </c>
      <c r="AC94" s="71">
        <f t="shared" si="47"/>
        <v>0</v>
      </c>
      <c r="AD94" s="71">
        <f t="shared" si="48"/>
        <v>0</v>
      </c>
      <c r="AE94" s="104">
        <f t="shared" si="49"/>
        <v>18379.829999999998</v>
      </c>
      <c r="AF94" s="5">
        <v>0</v>
      </c>
    </row>
    <row r="95" spans="1:32">
      <c r="A95" s="72">
        <v>200</v>
      </c>
      <c r="B95" s="72" t="s">
        <v>296</v>
      </c>
      <c r="C95" s="72" t="s">
        <v>21</v>
      </c>
      <c r="D95" s="139" t="s">
        <v>87</v>
      </c>
      <c r="E95" s="73" t="s">
        <v>112</v>
      </c>
      <c r="F95" s="70" t="s">
        <v>0</v>
      </c>
      <c r="G95" s="70">
        <v>7</v>
      </c>
      <c r="H95" s="74">
        <v>46654</v>
      </c>
      <c r="I95" s="72" t="s">
        <v>0</v>
      </c>
      <c r="J95" s="72">
        <v>15</v>
      </c>
      <c r="K95" s="72">
        <v>37</v>
      </c>
      <c r="L95" s="75">
        <f>'TABLA SALARIAL 2024 (23 X 2%)'!$H$3</f>
        <v>716.98</v>
      </c>
      <c r="M95" s="75">
        <f>G95*'TABLA SALARIAL 2024 (23 X 2%)'!$I$3</f>
        <v>150.22</v>
      </c>
      <c r="N95" s="75">
        <f t="shared" si="51"/>
        <v>357.66</v>
      </c>
      <c r="O95" s="75">
        <f>'TABLA SALARIAL 2024 (23 X 2%)'!$B$24</f>
        <v>391.78</v>
      </c>
      <c r="P95" s="4">
        <f>'TABLA SALARIAL 2024 (23 X 2%)'!$G$18</f>
        <v>895.03000000000009</v>
      </c>
      <c r="Q95" s="75">
        <f>'TABLA SALARIAL 2024 (23 X 2%)'!$H$5</f>
        <v>114.02</v>
      </c>
      <c r="R95" s="71"/>
      <c r="S95" s="75"/>
      <c r="T95" s="75">
        <f>'TABLA SALARIAL 2024 (23 X 2%)'!$H$4</f>
        <v>710.44</v>
      </c>
      <c r="U95" s="75">
        <f>G95*'TABLA SALARIAL 2024 (23 X 2%)'!$I$4</f>
        <v>148.67999999999998</v>
      </c>
      <c r="V95" s="76">
        <v>7</v>
      </c>
      <c r="W95" s="71">
        <f t="shared" si="41"/>
        <v>5018.8599999999997</v>
      </c>
      <c r="X95" s="71">
        <f>ROUND(M95*V95,2)</f>
        <v>1051.54</v>
      </c>
      <c r="Y95" s="71">
        <f t="shared" si="43"/>
        <v>2503.62</v>
      </c>
      <c r="Z95" s="71">
        <f t="shared" si="44"/>
        <v>2742.46</v>
      </c>
      <c r="AA95" s="71">
        <f t="shared" si="45"/>
        <v>6265.21</v>
      </c>
      <c r="AB95" s="71">
        <f t="shared" si="46"/>
        <v>798.14</v>
      </c>
      <c r="AC95" s="71">
        <f t="shared" si="47"/>
        <v>0</v>
      </c>
      <c r="AD95" s="71">
        <f t="shared" si="48"/>
        <v>0</v>
      </c>
      <c r="AE95" s="104">
        <f t="shared" si="49"/>
        <v>18379.829999999998</v>
      </c>
      <c r="AF95" s="5">
        <v>0</v>
      </c>
    </row>
    <row r="96" spans="1:32">
      <c r="A96" s="72">
        <v>63</v>
      </c>
      <c r="B96" s="72" t="s">
        <v>273</v>
      </c>
      <c r="C96" s="72" t="s">
        <v>23</v>
      </c>
      <c r="D96" s="139" t="s">
        <v>207</v>
      </c>
      <c r="E96" s="73" t="s">
        <v>112</v>
      </c>
      <c r="F96" s="70" t="s">
        <v>0</v>
      </c>
      <c r="G96" s="70">
        <v>7</v>
      </c>
      <c r="H96" s="74">
        <v>46207</v>
      </c>
      <c r="I96" s="72" t="s">
        <v>0</v>
      </c>
      <c r="J96" s="72">
        <v>15</v>
      </c>
      <c r="K96" s="72">
        <v>37</v>
      </c>
      <c r="L96" s="75">
        <f>'TABLA SALARIAL 2024 (23 X 2%)'!$H$3</f>
        <v>716.98</v>
      </c>
      <c r="M96" s="75">
        <f>G96*'TABLA SALARIAL 2024 (23 X 2%)'!$I$3</f>
        <v>150.22</v>
      </c>
      <c r="N96" s="75">
        <f t="shared" si="51"/>
        <v>357.66</v>
      </c>
      <c r="O96" s="75">
        <f>'TABLA SALARIAL 2024 (23 X 2%)'!$B$24</f>
        <v>391.78</v>
      </c>
      <c r="P96" s="4">
        <f>'TABLA SALARIAL 2024 (23 X 2%)'!$G$18</f>
        <v>895.03000000000009</v>
      </c>
      <c r="Q96" s="75">
        <f>'TABLA SALARIAL 2024 (23 X 2%)'!$H$5</f>
        <v>114.02</v>
      </c>
      <c r="R96" s="71"/>
      <c r="S96" s="75"/>
      <c r="T96" s="75">
        <f>'TABLA SALARIAL 2024 (23 X 2%)'!$H$4</f>
        <v>710.44</v>
      </c>
      <c r="U96" s="75">
        <f>G96*'TABLA SALARIAL 2024 (23 X 2%)'!$I$4</f>
        <v>148.67999999999998</v>
      </c>
      <c r="V96" s="76">
        <v>7</v>
      </c>
      <c r="W96" s="71">
        <f t="shared" si="41"/>
        <v>5018.8599999999997</v>
      </c>
      <c r="X96" s="71">
        <f>ROUND(M96*V96,2)</f>
        <v>1051.54</v>
      </c>
      <c r="Y96" s="71">
        <f t="shared" si="43"/>
        <v>2503.62</v>
      </c>
      <c r="Z96" s="71">
        <f t="shared" si="44"/>
        <v>2742.46</v>
      </c>
      <c r="AA96" s="71">
        <f t="shared" si="45"/>
        <v>6265.21</v>
      </c>
      <c r="AB96" s="71">
        <f t="shared" si="46"/>
        <v>798.14</v>
      </c>
      <c r="AC96" s="71">
        <f t="shared" si="47"/>
        <v>0</v>
      </c>
      <c r="AD96" s="71">
        <f t="shared" si="48"/>
        <v>0</v>
      </c>
      <c r="AE96" s="104">
        <f t="shared" si="49"/>
        <v>18379.829999999998</v>
      </c>
      <c r="AF96" s="5">
        <v>0</v>
      </c>
    </row>
    <row r="97" spans="1:36">
      <c r="A97" s="72"/>
      <c r="B97" s="72" t="s">
        <v>300</v>
      </c>
      <c r="C97" s="72" t="s">
        <v>34</v>
      </c>
      <c r="D97" s="135" t="s">
        <v>218</v>
      </c>
      <c r="E97" s="73" t="s">
        <v>164</v>
      </c>
      <c r="F97" s="70" t="s">
        <v>213</v>
      </c>
      <c r="G97" s="70">
        <v>1</v>
      </c>
      <c r="H97" s="74">
        <v>46342</v>
      </c>
      <c r="I97" s="72" t="s">
        <v>213</v>
      </c>
      <c r="J97" s="72">
        <v>14</v>
      </c>
      <c r="K97" s="72">
        <v>34</v>
      </c>
      <c r="L97" s="75">
        <f>'TABLA SALARIAL 2024 (23 X 2%)'!$J$3</f>
        <v>656.23</v>
      </c>
      <c r="M97" s="75">
        <f>G97*'TABLA SALARIAL 2024 (23 X 2%)'!$K$3</f>
        <v>16.16</v>
      </c>
      <c r="N97" s="75">
        <f t="shared" ref="N97:N122" si="58">ROUND((T97+U97+O97+P97)*2/12,2)</f>
        <v>309.97000000000003</v>
      </c>
      <c r="O97" s="75">
        <f>'TABLA SALARIAL 2024 (23 X 2%)'!$B$25</f>
        <v>364.97</v>
      </c>
      <c r="P97" s="4">
        <f>'TABLA SALARIAL 2024 (23 X 2%)'!$G$20</f>
        <v>822.46</v>
      </c>
      <c r="Q97" s="75">
        <f>'TABLA SALARIAL 2024 (23 X 2%)'!$J$5</f>
        <v>100.71</v>
      </c>
      <c r="R97" s="71"/>
      <c r="S97" s="75"/>
      <c r="T97" s="75">
        <f>'TABLA SALARIAL 2024 (23 X 2%)'!$J$4</f>
        <v>656.23</v>
      </c>
      <c r="U97" s="75">
        <f>G97*'TABLA SALARIAL 2024 (23 X 2%)'!$K$3</f>
        <v>16.16</v>
      </c>
      <c r="V97" s="76">
        <v>7</v>
      </c>
      <c r="W97" s="71">
        <f>ROUND(L97*V97,2)</f>
        <v>4593.6099999999997</v>
      </c>
      <c r="X97" s="71">
        <f>ROUND(M97*V97,2)</f>
        <v>113.12</v>
      </c>
      <c r="Y97" s="71">
        <f t="shared" si="43"/>
        <v>2169.79</v>
      </c>
      <c r="Z97" s="71">
        <f t="shared" si="44"/>
        <v>2554.79</v>
      </c>
      <c r="AA97" s="71">
        <f t="shared" si="45"/>
        <v>5757.22</v>
      </c>
      <c r="AB97" s="71">
        <f t="shared" si="46"/>
        <v>704.97</v>
      </c>
      <c r="AC97" s="71">
        <f>ROUND(R97*V97,2)</f>
        <v>0</v>
      </c>
      <c r="AD97" s="71">
        <f>ROUND(S97*V97,2)</f>
        <v>0</v>
      </c>
      <c r="AE97" s="104">
        <f>W97+X97+Y97+Z97+AA97+AB97</f>
        <v>15893.499999999998</v>
      </c>
      <c r="AF97" s="5">
        <v>0</v>
      </c>
      <c r="AJ97" s="100"/>
    </row>
    <row r="98" spans="1:36">
      <c r="A98" s="72"/>
      <c r="B98" s="72" t="s">
        <v>301</v>
      </c>
      <c r="C98" s="72" t="s">
        <v>217</v>
      </c>
      <c r="D98" s="135" t="s">
        <v>219</v>
      </c>
      <c r="E98" s="73" t="s">
        <v>164</v>
      </c>
      <c r="F98" s="70" t="s">
        <v>213</v>
      </c>
      <c r="G98" s="70">
        <v>1</v>
      </c>
      <c r="H98" s="74">
        <v>46601</v>
      </c>
      <c r="I98" s="72" t="s">
        <v>213</v>
      </c>
      <c r="J98" s="72">
        <v>14</v>
      </c>
      <c r="K98" s="72">
        <v>34</v>
      </c>
      <c r="L98" s="75">
        <f>'TABLA SALARIAL 2024 (23 X 2%)'!$J$3</f>
        <v>656.23</v>
      </c>
      <c r="M98" s="75">
        <f>G98*'TABLA SALARIAL 2024 (23 X 2%)'!$K$3</f>
        <v>16.16</v>
      </c>
      <c r="N98" s="75">
        <f t="shared" si="58"/>
        <v>309.97000000000003</v>
      </c>
      <c r="O98" s="75">
        <f>'TABLA SALARIAL 2024 (23 X 2%)'!$B$25</f>
        <v>364.97</v>
      </c>
      <c r="P98" s="4">
        <f>'TABLA SALARIAL 2024 (23 X 2%)'!$G$20</f>
        <v>822.46</v>
      </c>
      <c r="Q98" s="75">
        <f>'TABLA SALARIAL 2024 (23 X 2%)'!$J$5</f>
        <v>100.71</v>
      </c>
      <c r="R98" s="75"/>
      <c r="S98" s="71"/>
      <c r="T98" s="75">
        <f>'TABLA SALARIAL 2024 (23 X 2%)'!$J$4</f>
        <v>656.23</v>
      </c>
      <c r="U98" s="75">
        <f>G98*'TABLA SALARIAL 2024 (23 X 2%)'!$K$3</f>
        <v>16.16</v>
      </c>
      <c r="V98" s="76">
        <v>7</v>
      </c>
      <c r="W98" s="71">
        <f>ROUND(L98*V98,2)</f>
        <v>4593.6099999999997</v>
      </c>
      <c r="X98" s="71">
        <f>M98*V98</f>
        <v>113.12</v>
      </c>
      <c r="Y98" s="71">
        <f>ROUND(N98*V98,2)</f>
        <v>2169.79</v>
      </c>
      <c r="Z98" s="71">
        <f t="shared" si="44"/>
        <v>2554.79</v>
      </c>
      <c r="AA98" s="71">
        <f t="shared" si="45"/>
        <v>5757.22</v>
      </c>
      <c r="AB98" s="71">
        <f t="shared" si="46"/>
        <v>704.97</v>
      </c>
      <c r="AC98" s="71">
        <f>ROUND(R98*V98,2)</f>
        <v>0</v>
      </c>
      <c r="AD98" s="71">
        <f>ROUND(S98*V98,2)</f>
        <v>0</v>
      </c>
      <c r="AE98" s="104">
        <f>W98+X98+Y98+Z98+AA98+AB98</f>
        <v>15893.499999999998</v>
      </c>
      <c r="AF98" s="5">
        <v>0</v>
      </c>
      <c r="AJ98" s="100"/>
    </row>
    <row r="99" spans="1:36">
      <c r="A99" s="72">
        <v>237</v>
      </c>
      <c r="B99" s="72" t="s">
        <v>271</v>
      </c>
      <c r="C99" s="72" t="s">
        <v>139</v>
      </c>
      <c r="D99" s="139" t="s">
        <v>220</v>
      </c>
      <c r="E99" s="73" t="s">
        <v>164</v>
      </c>
      <c r="F99" s="70" t="s">
        <v>213</v>
      </c>
      <c r="G99" s="70">
        <v>1</v>
      </c>
      <c r="H99" s="74">
        <v>46342</v>
      </c>
      <c r="I99" s="72" t="s">
        <v>213</v>
      </c>
      <c r="J99" s="72">
        <v>14</v>
      </c>
      <c r="K99" s="72">
        <v>34</v>
      </c>
      <c r="L99" s="75">
        <f>'TABLA SALARIAL 2024 (23 X 2%)'!$J$3</f>
        <v>656.23</v>
      </c>
      <c r="M99" s="75">
        <f>G99*'TABLA SALARIAL 2024 (23 X 2%)'!$K$3</f>
        <v>16.16</v>
      </c>
      <c r="N99" s="75">
        <f t="shared" si="58"/>
        <v>309.97000000000003</v>
      </c>
      <c r="O99" s="75">
        <f>'TABLA SALARIAL 2024 (23 X 2%)'!$B$25</f>
        <v>364.97</v>
      </c>
      <c r="P99" s="4">
        <f>'TABLA SALARIAL 2024 (23 X 2%)'!$G$20</f>
        <v>822.46</v>
      </c>
      <c r="Q99" s="75">
        <f>'TABLA SALARIAL 2024 (23 X 2%)'!$J$5</f>
        <v>100.71</v>
      </c>
      <c r="R99" s="71"/>
      <c r="S99" s="75"/>
      <c r="T99" s="75">
        <f>'TABLA SALARIAL 2024 (23 X 2%)'!$J$4</f>
        <v>656.23</v>
      </c>
      <c r="U99" s="75">
        <f>G99*'TABLA SALARIAL 2024 (23 X 2%)'!$K$3</f>
        <v>16.16</v>
      </c>
      <c r="V99" s="76">
        <v>7</v>
      </c>
      <c r="W99" s="71">
        <f t="shared" si="41"/>
        <v>4593.6099999999997</v>
      </c>
      <c r="X99" s="71">
        <f t="shared" ref="X99:X109" si="59">M99*V99</f>
        <v>113.12</v>
      </c>
      <c r="Y99" s="71">
        <f t="shared" ref="Y99:Y120" si="60">ROUND(N99*V99,2)</f>
        <v>2169.79</v>
      </c>
      <c r="Z99" s="71">
        <f t="shared" si="44"/>
        <v>2554.79</v>
      </c>
      <c r="AA99" s="71">
        <f t="shared" si="45"/>
        <v>5757.22</v>
      </c>
      <c r="AB99" s="71">
        <f t="shared" si="46"/>
        <v>704.97</v>
      </c>
      <c r="AC99" s="71">
        <f t="shared" si="47"/>
        <v>0</v>
      </c>
      <c r="AD99" s="71">
        <f t="shared" si="48"/>
        <v>0</v>
      </c>
      <c r="AE99" s="104">
        <f t="shared" si="49"/>
        <v>15893.499999999998</v>
      </c>
      <c r="AF99" s="5">
        <v>0</v>
      </c>
      <c r="AJ99" s="100"/>
    </row>
    <row r="100" spans="1:36">
      <c r="A100" s="72">
        <v>238</v>
      </c>
      <c r="B100" s="72" t="s">
        <v>302</v>
      </c>
      <c r="C100" s="72" t="s">
        <v>47</v>
      </c>
      <c r="D100" s="139" t="s">
        <v>221</v>
      </c>
      <c r="E100" s="73" t="s">
        <v>164</v>
      </c>
      <c r="F100" s="70" t="s">
        <v>213</v>
      </c>
      <c r="G100" s="70">
        <v>1</v>
      </c>
      <c r="H100" s="74">
        <v>46342</v>
      </c>
      <c r="I100" s="72" t="s">
        <v>213</v>
      </c>
      <c r="J100" s="72">
        <v>14</v>
      </c>
      <c r="K100" s="72">
        <v>34</v>
      </c>
      <c r="L100" s="75">
        <f>'TABLA SALARIAL 2024 (23 X 2%)'!$J$3</f>
        <v>656.23</v>
      </c>
      <c r="M100" s="75">
        <f>G100*'TABLA SALARIAL 2024 (23 X 2%)'!$K$3</f>
        <v>16.16</v>
      </c>
      <c r="N100" s="75">
        <f t="shared" si="58"/>
        <v>309.97000000000003</v>
      </c>
      <c r="O100" s="75">
        <f>'TABLA SALARIAL 2024 (23 X 2%)'!$B$25</f>
        <v>364.97</v>
      </c>
      <c r="P100" s="4">
        <f>'TABLA SALARIAL 2024 (23 X 2%)'!$G$20</f>
        <v>822.46</v>
      </c>
      <c r="Q100" s="75">
        <f>'TABLA SALARIAL 2024 (23 X 2%)'!$J$5</f>
        <v>100.71</v>
      </c>
      <c r="R100" s="71"/>
      <c r="S100" s="75"/>
      <c r="T100" s="75">
        <f>'TABLA SALARIAL 2024 (23 X 2%)'!$J$4</f>
        <v>656.23</v>
      </c>
      <c r="U100" s="75">
        <f>G100*'TABLA SALARIAL 2024 (23 X 2%)'!$K$3</f>
        <v>16.16</v>
      </c>
      <c r="V100" s="76">
        <v>7</v>
      </c>
      <c r="W100" s="71">
        <f t="shared" si="41"/>
        <v>4593.6099999999997</v>
      </c>
      <c r="X100" s="71">
        <f t="shared" si="59"/>
        <v>113.12</v>
      </c>
      <c r="Y100" s="71">
        <f t="shared" si="60"/>
        <v>2169.79</v>
      </c>
      <c r="Z100" s="71">
        <f t="shared" si="44"/>
        <v>2554.79</v>
      </c>
      <c r="AA100" s="71">
        <f t="shared" si="45"/>
        <v>5757.22</v>
      </c>
      <c r="AB100" s="71">
        <f t="shared" si="46"/>
        <v>704.97</v>
      </c>
      <c r="AC100" s="71">
        <f t="shared" si="47"/>
        <v>0</v>
      </c>
      <c r="AD100" s="71">
        <f t="shared" si="48"/>
        <v>0</v>
      </c>
      <c r="AE100" s="104">
        <f t="shared" si="49"/>
        <v>15893.499999999998</v>
      </c>
      <c r="AF100" s="5">
        <v>0</v>
      </c>
    </row>
    <row r="101" spans="1:36">
      <c r="A101" s="72">
        <v>239</v>
      </c>
      <c r="B101" s="72" t="s">
        <v>303</v>
      </c>
      <c r="C101" s="72" t="s">
        <v>48</v>
      </c>
      <c r="D101" s="139" t="s">
        <v>222</v>
      </c>
      <c r="E101" s="73" t="s">
        <v>164</v>
      </c>
      <c r="F101" s="70" t="s">
        <v>213</v>
      </c>
      <c r="G101" s="70">
        <v>1</v>
      </c>
      <c r="H101" s="74">
        <v>46342</v>
      </c>
      <c r="I101" s="72" t="s">
        <v>213</v>
      </c>
      <c r="J101" s="72">
        <v>14</v>
      </c>
      <c r="K101" s="72">
        <v>34</v>
      </c>
      <c r="L101" s="75">
        <f>'TABLA SALARIAL 2024 (23 X 2%)'!$J$3</f>
        <v>656.23</v>
      </c>
      <c r="M101" s="75">
        <f>G101*'TABLA SALARIAL 2024 (23 X 2%)'!$K$3</f>
        <v>16.16</v>
      </c>
      <c r="N101" s="75">
        <f t="shared" si="58"/>
        <v>309.97000000000003</v>
      </c>
      <c r="O101" s="75">
        <f>'TABLA SALARIAL 2024 (23 X 2%)'!$B$25</f>
        <v>364.97</v>
      </c>
      <c r="P101" s="4">
        <f>'TABLA SALARIAL 2024 (23 X 2%)'!$G$20</f>
        <v>822.46</v>
      </c>
      <c r="Q101" s="75">
        <f>'TABLA SALARIAL 2024 (23 X 2%)'!$J$5</f>
        <v>100.71</v>
      </c>
      <c r="R101" s="71"/>
      <c r="S101" s="75"/>
      <c r="T101" s="75">
        <f>'TABLA SALARIAL 2024 (23 X 2%)'!$J$4</f>
        <v>656.23</v>
      </c>
      <c r="U101" s="75">
        <f>G101*'TABLA SALARIAL 2024 (23 X 2%)'!$K$3</f>
        <v>16.16</v>
      </c>
      <c r="V101" s="76">
        <v>7</v>
      </c>
      <c r="W101" s="71">
        <f t="shared" si="41"/>
        <v>4593.6099999999997</v>
      </c>
      <c r="X101" s="71">
        <f t="shared" si="59"/>
        <v>113.12</v>
      </c>
      <c r="Y101" s="71">
        <f t="shared" si="60"/>
        <v>2169.79</v>
      </c>
      <c r="Z101" s="71">
        <f t="shared" si="44"/>
        <v>2554.79</v>
      </c>
      <c r="AA101" s="71">
        <f t="shared" si="45"/>
        <v>5757.22</v>
      </c>
      <c r="AB101" s="71">
        <f t="shared" si="46"/>
        <v>704.97</v>
      </c>
      <c r="AC101" s="71">
        <f t="shared" si="47"/>
        <v>0</v>
      </c>
      <c r="AD101" s="71">
        <f t="shared" si="48"/>
        <v>0</v>
      </c>
      <c r="AE101" s="104">
        <f t="shared" si="49"/>
        <v>15893.499999999998</v>
      </c>
      <c r="AF101" s="5">
        <v>0</v>
      </c>
    </row>
    <row r="102" spans="1:36">
      <c r="A102" s="72">
        <v>240</v>
      </c>
      <c r="B102" s="72" t="s">
        <v>304</v>
      </c>
      <c r="C102" s="72" t="s">
        <v>49</v>
      </c>
      <c r="D102" s="139" t="s">
        <v>223</v>
      </c>
      <c r="E102" s="73" t="s">
        <v>164</v>
      </c>
      <c r="F102" s="70" t="s">
        <v>213</v>
      </c>
      <c r="G102" s="70">
        <v>1</v>
      </c>
      <c r="H102" s="74">
        <v>46342</v>
      </c>
      <c r="I102" s="72" t="s">
        <v>213</v>
      </c>
      <c r="J102" s="72">
        <v>14</v>
      </c>
      <c r="K102" s="72">
        <v>34</v>
      </c>
      <c r="L102" s="75">
        <f>'TABLA SALARIAL 2024 (23 X 2%)'!$J$3</f>
        <v>656.23</v>
      </c>
      <c r="M102" s="75">
        <f>G102*'TABLA SALARIAL 2024 (23 X 2%)'!$K$3</f>
        <v>16.16</v>
      </c>
      <c r="N102" s="75">
        <f t="shared" si="58"/>
        <v>309.97000000000003</v>
      </c>
      <c r="O102" s="75">
        <f>'TABLA SALARIAL 2024 (23 X 2%)'!$B$25</f>
        <v>364.97</v>
      </c>
      <c r="P102" s="4">
        <f>'TABLA SALARIAL 2024 (23 X 2%)'!$G$20</f>
        <v>822.46</v>
      </c>
      <c r="Q102" s="75">
        <f>'TABLA SALARIAL 2024 (23 X 2%)'!$J$5</f>
        <v>100.71</v>
      </c>
      <c r="R102" s="71"/>
      <c r="S102" s="75"/>
      <c r="T102" s="75">
        <f>'TABLA SALARIAL 2024 (23 X 2%)'!$J$4</f>
        <v>656.23</v>
      </c>
      <c r="U102" s="75">
        <f>G102*'TABLA SALARIAL 2024 (23 X 2%)'!$K$3</f>
        <v>16.16</v>
      </c>
      <c r="V102" s="76">
        <v>7</v>
      </c>
      <c r="W102" s="71">
        <f t="shared" si="41"/>
        <v>4593.6099999999997</v>
      </c>
      <c r="X102" s="71">
        <f t="shared" si="59"/>
        <v>113.12</v>
      </c>
      <c r="Y102" s="71">
        <f t="shared" si="60"/>
        <v>2169.79</v>
      </c>
      <c r="Z102" s="71">
        <f t="shared" si="44"/>
        <v>2554.79</v>
      </c>
      <c r="AA102" s="71">
        <f t="shared" si="45"/>
        <v>5757.22</v>
      </c>
      <c r="AB102" s="71">
        <f t="shared" si="46"/>
        <v>704.97</v>
      </c>
      <c r="AC102" s="71">
        <f t="shared" si="47"/>
        <v>0</v>
      </c>
      <c r="AD102" s="71">
        <f t="shared" si="48"/>
        <v>0</v>
      </c>
      <c r="AE102" s="104">
        <f t="shared" si="49"/>
        <v>15893.499999999998</v>
      </c>
      <c r="AF102" s="5">
        <v>0</v>
      </c>
    </row>
    <row r="103" spans="1:36">
      <c r="A103" s="72">
        <v>241</v>
      </c>
      <c r="B103" s="72" t="s">
        <v>305</v>
      </c>
      <c r="C103" s="72" t="s">
        <v>19</v>
      </c>
      <c r="D103" s="139" t="s">
        <v>224</v>
      </c>
      <c r="E103" s="73" t="s">
        <v>164</v>
      </c>
      <c r="F103" s="70" t="s">
        <v>213</v>
      </c>
      <c r="G103" s="70">
        <v>1</v>
      </c>
      <c r="H103" s="74">
        <v>46342</v>
      </c>
      <c r="I103" s="72" t="s">
        <v>213</v>
      </c>
      <c r="J103" s="72">
        <v>14</v>
      </c>
      <c r="K103" s="72">
        <v>34</v>
      </c>
      <c r="L103" s="75">
        <f>'TABLA SALARIAL 2024 (23 X 2%)'!$J$3</f>
        <v>656.23</v>
      </c>
      <c r="M103" s="75">
        <f>G103*'TABLA SALARIAL 2024 (23 X 2%)'!$K$3</f>
        <v>16.16</v>
      </c>
      <c r="N103" s="75">
        <f t="shared" si="58"/>
        <v>309.97000000000003</v>
      </c>
      <c r="O103" s="75">
        <f>'TABLA SALARIAL 2024 (23 X 2%)'!$B$25</f>
        <v>364.97</v>
      </c>
      <c r="P103" s="4">
        <f>'TABLA SALARIAL 2024 (23 X 2%)'!$G$20</f>
        <v>822.46</v>
      </c>
      <c r="Q103" s="75">
        <f>'TABLA SALARIAL 2024 (23 X 2%)'!$J$5</f>
        <v>100.71</v>
      </c>
      <c r="R103" s="71"/>
      <c r="S103" s="75"/>
      <c r="T103" s="75">
        <f>'TABLA SALARIAL 2024 (23 X 2%)'!$J$4</f>
        <v>656.23</v>
      </c>
      <c r="U103" s="75">
        <f>G103*'TABLA SALARIAL 2024 (23 X 2%)'!$K$3</f>
        <v>16.16</v>
      </c>
      <c r="V103" s="76">
        <v>7</v>
      </c>
      <c r="W103" s="71">
        <f t="shared" si="41"/>
        <v>4593.6099999999997</v>
      </c>
      <c r="X103" s="71">
        <f t="shared" si="59"/>
        <v>113.12</v>
      </c>
      <c r="Y103" s="71">
        <f t="shared" si="60"/>
        <v>2169.79</v>
      </c>
      <c r="Z103" s="71">
        <f t="shared" si="44"/>
        <v>2554.79</v>
      </c>
      <c r="AA103" s="71">
        <f t="shared" si="45"/>
        <v>5757.22</v>
      </c>
      <c r="AB103" s="71">
        <f t="shared" si="46"/>
        <v>704.97</v>
      </c>
      <c r="AC103" s="71">
        <f t="shared" si="47"/>
        <v>0</v>
      </c>
      <c r="AD103" s="71">
        <f t="shared" si="48"/>
        <v>0</v>
      </c>
      <c r="AE103" s="104">
        <f t="shared" si="49"/>
        <v>15893.499999999998</v>
      </c>
      <c r="AF103" s="5">
        <v>0</v>
      </c>
    </row>
    <row r="104" spans="1:36">
      <c r="A104" s="72">
        <v>242</v>
      </c>
      <c r="B104" s="72" t="s">
        <v>306</v>
      </c>
      <c r="C104" s="72" t="s">
        <v>140</v>
      </c>
      <c r="D104" s="139" t="s">
        <v>225</v>
      </c>
      <c r="E104" s="73" t="s">
        <v>164</v>
      </c>
      <c r="F104" s="70" t="s">
        <v>213</v>
      </c>
      <c r="G104" s="70">
        <v>1</v>
      </c>
      <c r="H104" s="74">
        <v>46342</v>
      </c>
      <c r="I104" s="72" t="s">
        <v>213</v>
      </c>
      <c r="J104" s="72">
        <v>14</v>
      </c>
      <c r="K104" s="72">
        <v>34</v>
      </c>
      <c r="L104" s="75">
        <f>'TABLA SALARIAL 2024 (23 X 2%)'!$J$3</f>
        <v>656.23</v>
      </c>
      <c r="M104" s="75">
        <f>G104*'TABLA SALARIAL 2024 (23 X 2%)'!$K$3</f>
        <v>16.16</v>
      </c>
      <c r="N104" s="75">
        <f t="shared" si="58"/>
        <v>309.97000000000003</v>
      </c>
      <c r="O104" s="75">
        <f>'TABLA SALARIAL 2024 (23 X 2%)'!$B$25</f>
        <v>364.97</v>
      </c>
      <c r="P104" s="4">
        <f>'TABLA SALARIAL 2024 (23 X 2%)'!$G$20</f>
        <v>822.46</v>
      </c>
      <c r="Q104" s="75">
        <f>'TABLA SALARIAL 2024 (23 X 2%)'!$J$5</f>
        <v>100.71</v>
      </c>
      <c r="R104" s="71"/>
      <c r="S104" s="75"/>
      <c r="T104" s="75">
        <f>'TABLA SALARIAL 2024 (23 X 2%)'!$J$4</f>
        <v>656.23</v>
      </c>
      <c r="U104" s="75">
        <f>G104*'TABLA SALARIAL 2024 (23 X 2%)'!$K$3</f>
        <v>16.16</v>
      </c>
      <c r="V104" s="76">
        <v>7</v>
      </c>
      <c r="W104" s="71">
        <f t="shared" si="41"/>
        <v>4593.6099999999997</v>
      </c>
      <c r="X104" s="71">
        <f t="shared" si="59"/>
        <v>113.12</v>
      </c>
      <c r="Y104" s="71">
        <f t="shared" si="60"/>
        <v>2169.79</v>
      </c>
      <c r="Z104" s="71">
        <f t="shared" si="44"/>
        <v>2554.79</v>
      </c>
      <c r="AA104" s="71">
        <f t="shared" si="45"/>
        <v>5757.22</v>
      </c>
      <c r="AB104" s="71">
        <f t="shared" si="46"/>
        <v>704.97</v>
      </c>
      <c r="AC104" s="71">
        <f t="shared" si="47"/>
        <v>0</v>
      </c>
      <c r="AD104" s="71">
        <f t="shared" si="48"/>
        <v>0</v>
      </c>
      <c r="AE104" s="104">
        <f t="shared" si="49"/>
        <v>15893.499999999998</v>
      </c>
      <c r="AF104" s="5">
        <v>0</v>
      </c>
    </row>
    <row r="105" spans="1:36">
      <c r="A105" s="72">
        <v>243</v>
      </c>
      <c r="B105" s="72" t="s">
        <v>307</v>
      </c>
      <c r="C105" s="72" t="s">
        <v>141</v>
      </c>
      <c r="D105" s="139" t="s">
        <v>226</v>
      </c>
      <c r="E105" s="73" t="s">
        <v>164</v>
      </c>
      <c r="F105" s="70" t="s">
        <v>213</v>
      </c>
      <c r="G105" s="70">
        <v>1</v>
      </c>
      <c r="H105" s="74">
        <v>46342</v>
      </c>
      <c r="I105" s="72" t="s">
        <v>213</v>
      </c>
      <c r="J105" s="72">
        <v>14</v>
      </c>
      <c r="K105" s="72">
        <v>34</v>
      </c>
      <c r="L105" s="75">
        <f>'TABLA SALARIAL 2024 (23 X 2%)'!$J$3</f>
        <v>656.23</v>
      </c>
      <c r="M105" s="75">
        <f>G105*'TABLA SALARIAL 2024 (23 X 2%)'!$K$3</f>
        <v>16.16</v>
      </c>
      <c r="N105" s="75">
        <f t="shared" si="58"/>
        <v>309.97000000000003</v>
      </c>
      <c r="O105" s="75">
        <f>'TABLA SALARIAL 2024 (23 X 2%)'!$B$25</f>
        <v>364.97</v>
      </c>
      <c r="P105" s="4">
        <f>'TABLA SALARIAL 2024 (23 X 2%)'!$G$20</f>
        <v>822.46</v>
      </c>
      <c r="Q105" s="75">
        <f>'TABLA SALARIAL 2024 (23 X 2%)'!$J$5</f>
        <v>100.71</v>
      </c>
      <c r="R105" s="71"/>
      <c r="S105" s="75"/>
      <c r="T105" s="75">
        <f>'TABLA SALARIAL 2024 (23 X 2%)'!$J$4</f>
        <v>656.23</v>
      </c>
      <c r="U105" s="75">
        <f>G105*'TABLA SALARIAL 2024 (23 X 2%)'!$K$3</f>
        <v>16.16</v>
      </c>
      <c r="V105" s="76">
        <v>7</v>
      </c>
      <c r="W105" s="71">
        <f t="shared" si="41"/>
        <v>4593.6099999999997</v>
      </c>
      <c r="X105" s="71">
        <f t="shared" si="59"/>
        <v>113.12</v>
      </c>
      <c r="Y105" s="71">
        <f t="shared" si="60"/>
        <v>2169.79</v>
      </c>
      <c r="Z105" s="71">
        <f t="shared" si="44"/>
        <v>2554.79</v>
      </c>
      <c r="AA105" s="71">
        <f t="shared" si="45"/>
        <v>5757.22</v>
      </c>
      <c r="AB105" s="71">
        <f t="shared" si="46"/>
        <v>704.97</v>
      </c>
      <c r="AC105" s="71">
        <f t="shared" si="47"/>
        <v>0</v>
      </c>
      <c r="AD105" s="71">
        <f t="shared" si="48"/>
        <v>0</v>
      </c>
      <c r="AE105" s="104">
        <f t="shared" si="49"/>
        <v>15893.499999999998</v>
      </c>
      <c r="AF105" s="5">
        <v>0</v>
      </c>
    </row>
    <row r="106" spans="1:36">
      <c r="A106" s="72">
        <v>244</v>
      </c>
      <c r="B106" s="72" t="s">
        <v>308</v>
      </c>
      <c r="C106" s="72" t="s">
        <v>142</v>
      </c>
      <c r="D106" s="139" t="s">
        <v>227</v>
      </c>
      <c r="E106" s="73" t="s">
        <v>164</v>
      </c>
      <c r="F106" s="70" t="s">
        <v>213</v>
      </c>
      <c r="G106" s="70">
        <v>1</v>
      </c>
      <c r="H106" s="74">
        <v>46342</v>
      </c>
      <c r="I106" s="72" t="s">
        <v>213</v>
      </c>
      <c r="J106" s="72">
        <v>14</v>
      </c>
      <c r="K106" s="72">
        <v>34</v>
      </c>
      <c r="L106" s="75">
        <f>'TABLA SALARIAL 2024 (23 X 2%)'!$J$3</f>
        <v>656.23</v>
      </c>
      <c r="M106" s="75">
        <f>G106*'TABLA SALARIAL 2024 (23 X 2%)'!$K$3</f>
        <v>16.16</v>
      </c>
      <c r="N106" s="75">
        <f t="shared" si="58"/>
        <v>309.97000000000003</v>
      </c>
      <c r="O106" s="75">
        <f>'TABLA SALARIAL 2024 (23 X 2%)'!$B$25</f>
        <v>364.97</v>
      </c>
      <c r="P106" s="4">
        <f>'TABLA SALARIAL 2024 (23 X 2%)'!$G$20</f>
        <v>822.46</v>
      </c>
      <c r="Q106" s="75">
        <f>'TABLA SALARIAL 2024 (23 X 2%)'!$J$5</f>
        <v>100.71</v>
      </c>
      <c r="R106" s="71"/>
      <c r="S106" s="75"/>
      <c r="T106" s="75">
        <f>'TABLA SALARIAL 2024 (23 X 2%)'!$J$4</f>
        <v>656.23</v>
      </c>
      <c r="U106" s="75">
        <f>G106*'TABLA SALARIAL 2024 (23 X 2%)'!$K$3</f>
        <v>16.16</v>
      </c>
      <c r="V106" s="76">
        <v>7</v>
      </c>
      <c r="W106" s="71">
        <f t="shared" si="41"/>
        <v>4593.6099999999997</v>
      </c>
      <c r="X106" s="71">
        <f t="shared" si="59"/>
        <v>113.12</v>
      </c>
      <c r="Y106" s="71">
        <f t="shared" si="60"/>
        <v>2169.79</v>
      </c>
      <c r="Z106" s="71">
        <f t="shared" si="44"/>
        <v>2554.79</v>
      </c>
      <c r="AA106" s="71">
        <f t="shared" si="45"/>
        <v>5757.22</v>
      </c>
      <c r="AB106" s="71">
        <f t="shared" si="46"/>
        <v>704.97</v>
      </c>
      <c r="AC106" s="71">
        <f t="shared" si="47"/>
        <v>0</v>
      </c>
      <c r="AD106" s="71">
        <f t="shared" si="48"/>
        <v>0</v>
      </c>
      <c r="AE106" s="104">
        <f t="shared" si="49"/>
        <v>15893.499999999998</v>
      </c>
      <c r="AF106" s="5">
        <v>0</v>
      </c>
    </row>
    <row r="107" spans="1:36">
      <c r="A107" s="72">
        <v>245</v>
      </c>
      <c r="B107" s="72" t="s">
        <v>288</v>
      </c>
      <c r="C107" s="72" t="s">
        <v>143</v>
      </c>
      <c r="D107" s="139" t="s">
        <v>228</v>
      </c>
      <c r="E107" s="73" t="s">
        <v>164</v>
      </c>
      <c r="F107" s="70" t="s">
        <v>213</v>
      </c>
      <c r="G107" s="70">
        <v>1</v>
      </c>
      <c r="H107" s="74">
        <v>46342</v>
      </c>
      <c r="I107" s="72" t="s">
        <v>213</v>
      </c>
      <c r="J107" s="72">
        <v>14</v>
      </c>
      <c r="K107" s="72">
        <v>34</v>
      </c>
      <c r="L107" s="75">
        <f>'TABLA SALARIAL 2024 (23 X 2%)'!$J$3</f>
        <v>656.23</v>
      </c>
      <c r="M107" s="75">
        <f>G107*'TABLA SALARIAL 2024 (23 X 2%)'!$K$3</f>
        <v>16.16</v>
      </c>
      <c r="N107" s="75">
        <f t="shared" si="58"/>
        <v>309.97000000000003</v>
      </c>
      <c r="O107" s="75">
        <f>'TABLA SALARIAL 2024 (23 X 2%)'!$B$25</f>
        <v>364.97</v>
      </c>
      <c r="P107" s="4">
        <f>'TABLA SALARIAL 2024 (23 X 2%)'!$G$20</f>
        <v>822.46</v>
      </c>
      <c r="Q107" s="75">
        <f>'TABLA SALARIAL 2024 (23 X 2%)'!$J$5</f>
        <v>100.71</v>
      </c>
      <c r="R107" s="71"/>
      <c r="S107" s="75"/>
      <c r="T107" s="75">
        <f>'TABLA SALARIAL 2024 (23 X 2%)'!$J$4</f>
        <v>656.23</v>
      </c>
      <c r="U107" s="75">
        <f>G107*'TABLA SALARIAL 2024 (23 X 2%)'!$K$3</f>
        <v>16.16</v>
      </c>
      <c r="V107" s="76">
        <v>7</v>
      </c>
      <c r="W107" s="71">
        <f t="shared" si="41"/>
        <v>4593.6099999999997</v>
      </c>
      <c r="X107" s="71">
        <f t="shared" si="59"/>
        <v>113.12</v>
      </c>
      <c r="Y107" s="71">
        <f t="shared" si="60"/>
        <v>2169.79</v>
      </c>
      <c r="Z107" s="71">
        <f t="shared" si="44"/>
        <v>2554.79</v>
      </c>
      <c r="AA107" s="71">
        <f t="shared" si="45"/>
        <v>5757.22</v>
      </c>
      <c r="AB107" s="71">
        <f t="shared" si="46"/>
        <v>704.97</v>
      </c>
      <c r="AC107" s="71">
        <f t="shared" si="47"/>
        <v>0</v>
      </c>
      <c r="AD107" s="71">
        <f t="shared" si="48"/>
        <v>0</v>
      </c>
      <c r="AE107" s="104">
        <f t="shared" si="49"/>
        <v>15893.499999999998</v>
      </c>
      <c r="AF107" s="5">
        <v>0</v>
      </c>
    </row>
    <row r="108" spans="1:36">
      <c r="A108" s="72">
        <v>246</v>
      </c>
      <c r="B108" s="72" t="s">
        <v>309</v>
      </c>
      <c r="C108" s="72" t="s">
        <v>144</v>
      </c>
      <c r="D108" s="139" t="s">
        <v>229</v>
      </c>
      <c r="E108" s="73" t="s">
        <v>164</v>
      </c>
      <c r="F108" s="70" t="s">
        <v>213</v>
      </c>
      <c r="G108" s="70">
        <v>1</v>
      </c>
      <c r="H108" s="74">
        <v>46342</v>
      </c>
      <c r="I108" s="72" t="s">
        <v>213</v>
      </c>
      <c r="J108" s="72">
        <v>14</v>
      </c>
      <c r="K108" s="72">
        <v>34</v>
      </c>
      <c r="L108" s="75">
        <f>'TABLA SALARIAL 2024 (23 X 2%)'!$J$3</f>
        <v>656.23</v>
      </c>
      <c r="M108" s="75">
        <f>G108*'TABLA SALARIAL 2024 (23 X 2%)'!$K$3</f>
        <v>16.16</v>
      </c>
      <c r="N108" s="75">
        <f t="shared" si="58"/>
        <v>309.97000000000003</v>
      </c>
      <c r="O108" s="75">
        <f>'TABLA SALARIAL 2024 (23 X 2%)'!$B$25</f>
        <v>364.97</v>
      </c>
      <c r="P108" s="4">
        <f>'TABLA SALARIAL 2024 (23 X 2%)'!$G$20</f>
        <v>822.46</v>
      </c>
      <c r="Q108" s="75">
        <f>'TABLA SALARIAL 2024 (23 X 2%)'!$J$5</f>
        <v>100.71</v>
      </c>
      <c r="R108" s="71"/>
      <c r="S108" s="75"/>
      <c r="T108" s="75">
        <f>'TABLA SALARIAL 2024 (23 X 2%)'!$J$4</f>
        <v>656.23</v>
      </c>
      <c r="U108" s="75">
        <f>G108*'TABLA SALARIAL 2024 (23 X 2%)'!$K$3</f>
        <v>16.16</v>
      </c>
      <c r="V108" s="76">
        <v>7</v>
      </c>
      <c r="W108" s="71">
        <f t="shared" si="41"/>
        <v>4593.6099999999997</v>
      </c>
      <c r="X108" s="71">
        <f t="shared" si="59"/>
        <v>113.12</v>
      </c>
      <c r="Y108" s="71">
        <f t="shared" si="60"/>
        <v>2169.79</v>
      </c>
      <c r="Z108" s="71">
        <f t="shared" si="44"/>
        <v>2554.79</v>
      </c>
      <c r="AA108" s="71">
        <f t="shared" si="45"/>
        <v>5757.22</v>
      </c>
      <c r="AB108" s="71">
        <f t="shared" si="46"/>
        <v>704.97</v>
      </c>
      <c r="AC108" s="71">
        <f t="shared" si="47"/>
        <v>0</v>
      </c>
      <c r="AD108" s="71">
        <f t="shared" si="48"/>
        <v>0</v>
      </c>
      <c r="AE108" s="104">
        <f t="shared" si="49"/>
        <v>15893.499999999998</v>
      </c>
      <c r="AF108" s="5">
        <v>0</v>
      </c>
    </row>
    <row r="109" spans="1:36">
      <c r="A109" s="72">
        <v>247</v>
      </c>
      <c r="B109" s="72" t="s">
        <v>310</v>
      </c>
      <c r="C109" s="72" t="s">
        <v>145</v>
      </c>
      <c r="D109" s="139" t="s">
        <v>230</v>
      </c>
      <c r="E109" s="73" t="s">
        <v>164</v>
      </c>
      <c r="F109" s="70" t="s">
        <v>213</v>
      </c>
      <c r="G109" s="70">
        <v>1</v>
      </c>
      <c r="H109" s="74">
        <v>46342</v>
      </c>
      <c r="I109" s="72" t="s">
        <v>213</v>
      </c>
      <c r="J109" s="72">
        <v>14</v>
      </c>
      <c r="K109" s="72">
        <v>34</v>
      </c>
      <c r="L109" s="75">
        <f>'TABLA SALARIAL 2024 (23 X 2%)'!$J$3</f>
        <v>656.23</v>
      </c>
      <c r="M109" s="75">
        <f>G109*'TABLA SALARIAL 2024 (23 X 2%)'!$K$3</f>
        <v>16.16</v>
      </c>
      <c r="N109" s="75">
        <f t="shared" si="58"/>
        <v>309.97000000000003</v>
      </c>
      <c r="O109" s="75">
        <f>'TABLA SALARIAL 2024 (23 X 2%)'!$B$25</f>
        <v>364.97</v>
      </c>
      <c r="P109" s="4">
        <f>'TABLA SALARIAL 2024 (23 X 2%)'!$G$20</f>
        <v>822.46</v>
      </c>
      <c r="Q109" s="75">
        <f>'TABLA SALARIAL 2024 (23 X 2%)'!$J$5</f>
        <v>100.71</v>
      </c>
      <c r="R109" s="71"/>
      <c r="S109" s="75"/>
      <c r="T109" s="75">
        <f>'TABLA SALARIAL 2024 (23 X 2%)'!$J$4</f>
        <v>656.23</v>
      </c>
      <c r="U109" s="75">
        <f>G109*'TABLA SALARIAL 2024 (23 X 2%)'!$K$3</f>
        <v>16.16</v>
      </c>
      <c r="V109" s="76">
        <v>7</v>
      </c>
      <c r="W109" s="71">
        <f t="shared" si="41"/>
        <v>4593.6099999999997</v>
      </c>
      <c r="X109" s="71">
        <f t="shared" si="59"/>
        <v>113.12</v>
      </c>
      <c r="Y109" s="71">
        <f t="shared" si="60"/>
        <v>2169.79</v>
      </c>
      <c r="Z109" s="71">
        <f t="shared" si="44"/>
        <v>2554.79</v>
      </c>
      <c r="AA109" s="71">
        <f t="shared" si="45"/>
        <v>5757.22</v>
      </c>
      <c r="AB109" s="71">
        <f t="shared" si="46"/>
        <v>704.97</v>
      </c>
      <c r="AC109" s="71">
        <f t="shared" si="47"/>
        <v>0</v>
      </c>
      <c r="AD109" s="71">
        <f t="shared" si="48"/>
        <v>0</v>
      </c>
      <c r="AE109" s="104">
        <f t="shared" si="49"/>
        <v>15893.499999999998</v>
      </c>
      <c r="AF109" s="5">
        <v>0</v>
      </c>
    </row>
    <row r="110" spans="1:36">
      <c r="A110" s="72">
        <v>263</v>
      </c>
      <c r="B110" s="72" t="s">
        <v>324</v>
      </c>
      <c r="C110" s="72" t="s">
        <v>146</v>
      </c>
      <c r="D110" s="139" t="s">
        <v>239</v>
      </c>
      <c r="E110" s="73" t="s">
        <v>164</v>
      </c>
      <c r="F110" s="70" t="s">
        <v>213</v>
      </c>
      <c r="G110" s="70">
        <v>1</v>
      </c>
      <c r="H110" s="74">
        <v>46601</v>
      </c>
      <c r="I110" s="72" t="s">
        <v>213</v>
      </c>
      <c r="J110" s="72">
        <v>14</v>
      </c>
      <c r="K110" s="72">
        <v>34</v>
      </c>
      <c r="L110" s="75">
        <f>'TABLA SALARIAL 2024 (23 X 2%)'!$J$3</f>
        <v>656.23</v>
      </c>
      <c r="M110" s="75">
        <f>G110*'TABLA SALARIAL 2024 (23 X 2%)'!$K$3</f>
        <v>16.16</v>
      </c>
      <c r="N110" s="75">
        <f>((T110+U110+O110+P110)/12)+((O110+P110+T110+16.08)/12)</f>
        <v>309.96333333333337</v>
      </c>
      <c r="O110" s="75">
        <f>'TABLA SALARIAL 2024 (23 X 2%)'!$B$25</f>
        <v>364.97</v>
      </c>
      <c r="P110" s="4">
        <f>'TABLA SALARIAL 2024 (23 X 2%)'!$G$20</f>
        <v>822.46</v>
      </c>
      <c r="Q110" s="75">
        <f>'TABLA SALARIAL 2024 (23 X 2%)'!$J$5</f>
        <v>100.71</v>
      </c>
      <c r="R110" s="71"/>
      <c r="S110" s="75"/>
      <c r="T110" s="75">
        <f>'TABLA SALARIAL 2024 (23 X 2%)'!$J$4</f>
        <v>656.23</v>
      </c>
      <c r="U110" s="75">
        <f>G110*'TABLA SALARIAL 2024 (23 X 2%)'!$K$3</f>
        <v>16.16</v>
      </c>
      <c r="V110" s="76">
        <v>7</v>
      </c>
      <c r="W110" s="71">
        <f t="shared" si="41"/>
        <v>4593.6099999999997</v>
      </c>
      <c r="X110" s="71">
        <f>1*16.08*4</f>
        <v>64.319999999999993</v>
      </c>
      <c r="Y110" s="71">
        <f t="shared" si="60"/>
        <v>2169.7399999999998</v>
      </c>
      <c r="Z110" s="71">
        <f t="shared" si="44"/>
        <v>2554.79</v>
      </c>
      <c r="AA110" s="71">
        <f t="shared" si="45"/>
        <v>5757.22</v>
      </c>
      <c r="AB110" s="71">
        <f t="shared" si="46"/>
        <v>704.97</v>
      </c>
      <c r="AC110" s="71">
        <f t="shared" si="47"/>
        <v>0</v>
      </c>
      <c r="AD110" s="71">
        <f t="shared" si="48"/>
        <v>0</v>
      </c>
      <c r="AE110" s="104">
        <f t="shared" si="49"/>
        <v>15844.65</v>
      </c>
      <c r="AF110" s="5">
        <v>0</v>
      </c>
    </row>
    <row r="111" spans="1:36">
      <c r="A111" s="72"/>
      <c r="B111" s="72" t="s">
        <v>335</v>
      </c>
      <c r="C111" s="72" t="s">
        <v>147</v>
      </c>
      <c r="D111" s="142" t="s">
        <v>169</v>
      </c>
      <c r="E111" s="73" t="s">
        <v>164</v>
      </c>
      <c r="F111" s="70" t="s">
        <v>213</v>
      </c>
      <c r="G111" s="70">
        <v>0</v>
      </c>
      <c r="H111" s="74"/>
      <c r="I111" s="72" t="s">
        <v>213</v>
      </c>
      <c r="J111" s="72">
        <v>14</v>
      </c>
      <c r="K111" s="72">
        <v>34</v>
      </c>
      <c r="L111" s="75">
        <v>0</v>
      </c>
      <c r="M111" s="75">
        <f t="shared" ref="M111:M114" si="61">(15.68*G111)</f>
        <v>0</v>
      </c>
      <c r="N111" s="75">
        <v>0</v>
      </c>
      <c r="O111" s="75">
        <v>0</v>
      </c>
      <c r="P111" s="4">
        <v>0</v>
      </c>
      <c r="Q111" s="75">
        <v>0</v>
      </c>
      <c r="R111" s="71"/>
      <c r="S111" s="75"/>
      <c r="T111" s="75">
        <v>0</v>
      </c>
      <c r="U111" s="75">
        <f t="shared" ref="U111:U114" si="62">15.68*G111</f>
        <v>0</v>
      </c>
      <c r="V111" s="128">
        <v>8</v>
      </c>
      <c r="W111" s="71">
        <f t="shared" si="41"/>
        <v>0</v>
      </c>
      <c r="X111" s="71">
        <f>ROUND(M111*V111,2)</f>
        <v>0</v>
      </c>
      <c r="Y111" s="71">
        <f t="shared" si="60"/>
        <v>0</v>
      </c>
      <c r="Z111" s="71">
        <f t="shared" si="44"/>
        <v>0</v>
      </c>
      <c r="AA111" s="71">
        <f t="shared" si="45"/>
        <v>0</v>
      </c>
      <c r="AB111" s="71">
        <f t="shared" si="46"/>
        <v>0</v>
      </c>
      <c r="AC111" s="71">
        <f t="shared" si="47"/>
        <v>0</v>
      </c>
      <c r="AD111" s="71">
        <f t="shared" si="48"/>
        <v>0</v>
      </c>
      <c r="AE111" s="104">
        <f t="shared" si="49"/>
        <v>0</v>
      </c>
      <c r="AF111" s="5">
        <v>0</v>
      </c>
    </row>
    <row r="112" spans="1:36">
      <c r="A112" s="72">
        <v>250</v>
      </c>
      <c r="B112" s="72" t="s">
        <v>311</v>
      </c>
      <c r="C112" s="72" t="s">
        <v>148</v>
      </c>
      <c r="D112" s="139" t="s">
        <v>231</v>
      </c>
      <c r="E112" s="73" t="s">
        <v>164</v>
      </c>
      <c r="F112" s="70" t="s">
        <v>213</v>
      </c>
      <c r="G112" s="70">
        <v>1</v>
      </c>
      <c r="H112" s="74">
        <v>46342</v>
      </c>
      <c r="I112" s="72" t="s">
        <v>213</v>
      </c>
      <c r="J112" s="72">
        <v>14</v>
      </c>
      <c r="K112" s="72">
        <v>34</v>
      </c>
      <c r="L112" s="75">
        <f>'TABLA SALARIAL 2024 (23 X 2%)'!$J$3</f>
        <v>656.23</v>
      </c>
      <c r="M112" s="75">
        <f>G112*'TABLA SALARIAL 2024 (23 X 2%)'!$K$3</f>
        <v>16.16</v>
      </c>
      <c r="N112" s="75">
        <f t="shared" si="58"/>
        <v>309.97000000000003</v>
      </c>
      <c r="O112" s="75">
        <f>'TABLA SALARIAL 2024 (23 X 2%)'!$B$25</f>
        <v>364.97</v>
      </c>
      <c r="P112" s="4">
        <f>'TABLA SALARIAL 2024 (23 X 2%)'!$G$20</f>
        <v>822.46</v>
      </c>
      <c r="Q112" s="75">
        <f>'TABLA SALARIAL 2024 (23 X 2%)'!$J$5</f>
        <v>100.71</v>
      </c>
      <c r="R112" s="71"/>
      <c r="S112" s="75"/>
      <c r="T112" s="75">
        <f>'TABLA SALARIAL 2024 (23 X 2%)'!$J$4</f>
        <v>656.23</v>
      </c>
      <c r="U112" s="75">
        <f>G112*'TABLA SALARIAL 2024 (23 X 2%)'!$K$3</f>
        <v>16.16</v>
      </c>
      <c r="V112" s="76">
        <v>7</v>
      </c>
      <c r="W112" s="71">
        <f t="shared" si="41"/>
        <v>4593.6099999999997</v>
      </c>
      <c r="X112" s="71">
        <f>ROUND(M112*V112,2)</f>
        <v>113.12</v>
      </c>
      <c r="Y112" s="71">
        <f t="shared" si="60"/>
        <v>2169.79</v>
      </c>
      <c r="Z112" s="71">
        <f t="shared" si="44"/>
        <v>2554.79</v>
      </c>
      <c r="AA112" s="71">
        <f t="shared" si="45"/>
        <v>5757.22</v>
      </c>
      <c r="AB112" s="71">
        <f t="shared" si="46"/>
        <v>704.97</v>
      </c>
      <c r="AC112" s="71">
        <f t="shared" si="47"/>
        <v>0</v>
      </c>
      <c r="AD112" s="71">
        <f t="shared" si="48"/>
        <v>0</v>
      </c>
      <c r="AE112" s="104">
        <f t="shared" si="49"/>
        <v>15893.499999999998</v>
      </c>
      <c r="AF112" s="5">
        <v>0</v>
      </c>
    </row>
    <row r="113" spans="1:35">
      <c r="A113" s="72">
        <v>251</v>
      </c>
      <c r="B113" s="72" t="s">
        <v>312</v>
      </c>
      <c r="C113" s="72" t="s">
        <v>149</v>
      </c>
      <c r="D113" s="139" t="s">
        <v>232</v>
      </c>
      <c r="E113" s="73" t="s">
        <v>164</v>
      </c>
      <c r="F113" s="70" t="s">
        <v>213</v>
      </c>
      <c r="G113" s="70">
        <v>1</v>
      </c>
      <c r="H113" s="74">
        <v>46342</v>
      </c>
      <c r="I113" s="72" t="s">
        <v>213</v>
      </c>
      <c r="J113" s="72">
        <v>14</v>
      </c>
      <c r="K113" s="72">
        <v>34</v>
      </c>
      <c r="L113" s="75">
        <f>'TABLA SALARIAL 2024 (23 X 2%)'!$J$3</f>
        <v>656.23</v>
      </c>
      <c r="M113" s="75">
        <f>G113*'TABLA SALARIAL 2024 (23 X 2%)'!$K$3</f>
        <v>16.16</v>
      </c>
      <c r="N113" s="75">
        <f t="shared" si="58"/>
        <v>309.97000000000003</v>
      </c>
      <c r="O113" s="75">
        <f>'TABLA SALARIAL 2024 (23 X 2%)'!$B$25</f>
        <v>364.97</v>
      </c>
      <c r="P113" s="4">
        <f>'TABLA SALARIAL 2024 (23 X 2%)'!$G$20</f>
        <v>822.46</v>
      </c>
      <c r="Q113" s="75">
        <f>'TABLA SALARIAL 2024 (23 X 2%)'!$J$5</f>
        <v>100.71</v>
      </c>
      <c r="R113" s="71"/>
      <c r="S113" s="75"/>
      <c r="T113" s="75">
        <f>'TABLA SALARIAL 2024 (23 X 2%)'!$J$4</f>
        <v>656.23</v>
      </c>
      <c r="U113" s="75">
        <f>G113*'TABLA SALARIAL 2024 (23 X 2%)'!$K$3</f>
        <v>16.16</v>
      </c>
      <c r="V113" s="76">
        <v>7</v>
      </c>
      <c r="W113" s="71">
        <f t="shared" si="41"/>
        <v>4593.6099999999997</v>
      </c>
      <c r="X113" s="71">
        <f>ROUND(M113*V113,2)</f>
        <v>113.12</v>
      </c>
      <c r="Y113" s="71">
        <f t="shared" si="60"/>
        <v>2169.79</v>
      </c>
      <c r="Z113" s="71">
        <f t="shared" si="44"/>
        <v>2554.79</v>
      </c>
      <c r="AA113" s="71">
        <f t="shared" si="45"/>
        <v>5757.22</v>
      </c>
      <c r="AB113" s="71">
        <f t="shared" si="46"/>
        <v>704.97</v>
      </c>
      <c r="AC113" s="71">
        <f t="shared" si="47"/>
        <v>0</v>
      </c>
      <c r="AD113" s="71">
        <f t="shared" si="48"/>
        <v>0</v>
      </c>
      <c r="AE113" s="104">
        <f t="shared" si="49"/>
        <v>15893.499999999998</v>
      </c>
      <c r="AF113" s="5">
        <v>0</v>
      </c>
      <c r="AI113" s="100"/>
    </row>
    <row r="114" spans="1:35">
      <c r="A114" s="72"/>
      <c r="B114" s="72" t="s">
        <v>336</v>
      </c>
      <c r="C114" s="72" t="s">
        <v>150</v>
      </c>
      <c r="D114" s="142" t="s">
        <v>169</v>
      </c>
      <c r="E114" s="73" t="s">
        <v>164</v>
      </c>
      <c r="F114" s="70" t="s">
        <v>213</v>
      </c>
      <c r="G114" s="70">
        <v>0</v>
      </c>
      <c r="H114" s="74"/>
      <c r="I114" s="72" t="s">
        <v>213</v>
      </c>
      <c r="J114" s="72">
        <v>14</v>
      </c>
      <c r="K114" s="72">
        <v>34</v>
      </c>
      <c r="L114" s="75">
        <v>0</v>
      </c>
      <c r="M114" s="75">
        <f t="shared" si="61"/>
        <v>0</v>
      </c>
      <c r="N114" s="75">
        <v>0</v>
      </c>
      <c r="O114" s="75">
        <v>0</v>
      </c>
      <c r="P114" s="4">
        <v>0</v>
      </c>
      <c r="Q114" s="75">
        <v>0</v>
      </c>
      <c r="R114" s="71"/>
      <c r="S114" s="75"/>
      <c r="T114" s="75">
        <v>0</v>
      </c>
      <c r="U114" s="75">
        <f t="shared" si="62"/>
        <v>0</v>
      </c>
      <c r="V114" s="128">
        <v>8</v>
      </c>
      <c r="W114" s="71">
        <f t="shared" si="41"/>
        <v>0</v>
      </c>
      <c r="X114" s="71">
        <v>0</v>
      </c>
      <c r="Y114" s="71">
        <f t="shared" si="60"/>
        <v>0</v>
      </c>
      <c r="Z114" s="71">
        <f t="shared" si="44"/>
        <v>0</v>
      </c>
      <c r="AA114" s="71">
        <f t="shared" si="45"/>
        <v>0</v>
      </c>
      <c r="AB114" s="71">
        <f t="shared" si="46"/>
        <v>0</v>
      </c>
      <c r="AC114" s="71">
        <f t="shared" si="47"/>
        <v>0</v>
      </c>
      <c r="AD114" s="71">
        <f t="shared" si="48"/>
        <v>0</v>
      </c>
      <c r="AE114" s="104">
        <f t="shared" si="49"/>
        <v>0</v>
      </c>
      <c r="AF114" s="5">
        <f t="shared" si="50"/>
        <v>0</v>
      </c>
    </row>
    <row r="115" spans="1:35">
      <c r="A115" s="72">
        <v>253</v>
      </c>
      <c r="B115" s="72" t="s">
        <v>313</v>
      </c>
      <c r="C115" s="72" t="s">
        <v>151</v>
      </c>
      <c r="D115" s="139" t="s">
        <v>233</v>
      </c>
      <c r="E115" s="73" t="s">
        <v>164</v>
      </c>
      <c r="F115" s="70" t="s">
        <v>213</v>
      </c>
      <c r="G115" s="70">
        <v>1</v>
      </c>
      <c r="H115" s="74">
        <v>46342</v>
      </c>
      <c r="I115" s="72" t="s">
        <v>213</v>
      </c>
      <c r="J115" s="72">
        <v>14</v>
      </c>
      <c r="K115" s="72">
        <v>34</v>
      </c>
      <c r="L115" s="75">
        <f>'TABLA SALARIAL 2024 (23 X 2%)'!$J$3</f>
        <v>656.23</v>
      </c>
      <c r="M115" s="75">
        <f>G115*'TABLA SALARIAL 2024 (23 X 2%)'!$K$3</f>
        <v>16.16</v>
      </c>
      <c r="N115" s="75">
        <f t="shared" si="58"/>
        <v>309.97000000000003</v>
      </c>
      <c r="O115" s="75">
        <f>'TABLA SALARIAL 2024 (23 X 2%)'!$B$25</f>
        <v>364.97</v>
      </c>
      <c r="P115" s="4">
        <f>'TABLA SALARIAL 2024 (23 X 2%)'!$G$20</f>
        <v>822.46</v>
      </c>
      <c r="Q115" s="75">
        <f>'TABLA SALARIAL 2024 (23 X 2%)'!$J$5</f>
        <v>100.71</v>
      </c>
      <c r="R115" s="71"/>
      <c r="S115" s="75"/>
      <c r="T115" s="75">
        <f>'TABLA SALARIAL 2024 (23 X 2%)'!$J$4</f>
        <v>656.23</v>
      </c>
      <c r="U115" s="75">
        <f>G115*'TABLA SALARIAL 2024 (23 X 2%)'!$K$3</f>
        <v>16.16</v>
      </c>
      <c r="V115" s="76">
        <v>7</v>
      </c>
      <c r="W115" s="71">
        <f t="shared" si="41"/>
        <v>4593.6099999999997</v>
      </c>
      <c r="X115" s="71">
        <f>ROUND(M115*V115,2)</f>
        <v>113.12</v>
      </c>
      <c r="Y115" s="71">
        <f t="shared" si="60"/>
        <v>2169.79</v>
      </c>
      <c r="Z115" s="71">
        <f t="shared" si="44"/>
        <v>2554.79</v>
      </c>
      <c r="AA115" s="71">
        <f t="shared" si="45"/>
        <v>5757.22</v>
      </c>
      <c r="AB115" s="71">
        <f t="shared" si="46"/>
        <v>704.97</v>
      </c>
      <c r="AC115" s="71">
        <f t="shared" si="47"/>
        <v>0</v>
      </c>
      <c r="AD115" s="71">
        <f t="shared" si="48"/>
        <v>0</v>
      </c>
      <c r="AE115" s="104">
        <f t="shared" si="49"/>
        <v>15893.499999999998</v>
      </c>
      <c r="AF115" s="5">
        <v>0</v>
      </c>
    </row>
    <row r="116" spans="1:35">
      <c r="A116" s="72">
        <v>254</v>
      </c>
      <c r="B116" s="72" t="s">
        <v>314</v>
      </c>
      <c r="C116" s="72" t="s">
        <v>152</v>
      </c>
      <c r="D116" s="139" t="s">
        <v>234</v>
      </c>
      <c r="E116" s="73" t="s">
        <v>164</v>
      </c>
      <c r="F116" s="70" t="s">
        <v>213</v>
      </c>
      <c r="G116" s="70">
        <v>1</v>
      </c>
      <c r="H116" s="74">
        <v>46342</v>
      </c>
      <c r="I116" s="72" t="s">
        <v>213</v>
      </c>
      <c r="J116" s="72">
        <v>14</v>
      </c>
      <c r="K116" s="72">
        <v>34</v>
      </c>
      <c r="L116" s="75">
        <f>'TABLA SALARIAL 2024 (23 X 2%)'!$J$3</f>
        <v>656.23</v>
      </c>
      <c r="M116" s="75">
        <f>G116*'TABLA SALARIAL 2024 (23 X 2%)'!$K$3</f>
        <v>16.16</v>
      </c>
      <c r="N116" s="75">
        <f t="shared" si="58"/>
        <v>309.97000000000003</v>
      </c>
      <c r="O116" s="75">
        <f>'TABLA SALARIAL 2024 (23 X 2%)'!$B$25</f>
        <v>364.97</v>
      </c>
      <c r="P116" s="4">
        <f>'TABLA SALARIAL 2024 (23 X 2%)'!$G$20</f>
        <v>822.46</v>
      </c>
      <c r="Q116" s="75">
        <f>'TABLA SALARIAL 2024 (23 X 2%)'!$J$5</f>
        <v>100.71</v>
      </c>
      <c r="R116" s="71"/>
      <c r="S116" s="75"/>
      <c r="T116" s="75">
        <f>'TABLA SALARIAL 2024 (23 X 2%)'!$J$4</f>
        <v>656.23</v>
      </c>
      <c r="U116" s="75">
        <f>G116*'TABLA SALARIAL 2024 (23 X 2%)'!$K$3</f>
        <v>16.16</v>
      </c>
      <c r="V116" s="76">
        <v>7</v>
      </c>
      <c r="W116" s="71">
        <f t="shared" si="41"/>
        <v>4593.6099999999997</v>
      </c>
      <c r="X116" s="71">
        <f t="shared" ref="X116:X120" si="63">ROUND(M116*V116,2)</f>
        <v>113.12</v>
      </c>
      <c r="Y116" s="71">
        <f t="shared" si="60"/>
        <v>2169.79</v>
      </c>
      <c r="Z116" s="71">
        <f t="shared" si="44"/>
        <v>2554.79</v>
      </c>
      <c r="AA116" s="71">
        <f t="shared" si="45"/>
        <v>5757.22</v>
      </c>
      <c r="AB116" s="71">
        <f t="shared" si="46"/>
        <v>704.97</v>
      </c>
      <c r="AC116" s="71">
        <f t="shared" si="47"/>
        <v>0</v>
      </c>
      <c r="AD116" s="71">
        <f t="shared" si="48"/>
        <v>0</v>
      </c>
      <c r="AE116" s="104">
        <f t="shared" si="49"/>
        <v>15893.499999999998</v>
      </c>
      <c r="AF116" s="5">
        <v>0</v>
      </c>
    </row>
    <row r="117" spans="1:35">
      <c r="A117" s="72">
        <v>255</v>
      </c>
      <c r="B117" s="72" t="s">
        <v>315</v>
      </c>
      <c r="C117" s="72" t="s">
        <v>153</v>
      </c>
      <c r="D117" s="139" t="s">
        <v>235</v>
      </c>
      <c r="E117" s="73" t="s">
        <v>164</v>
      </c>
      <c r="F117" s="70" t="s">
        <v>213</v>
      </c>
      <c r="G117" s="70">
        <v>1</v>
      </c>
      <c r="H117" s="74">
        <v>46342</v>
      </c>
      <c r="I117" s="72" t="s">
        <v>213</v>
      </c>
      <c r="J117" s="72">
        <v>14</v>
      </c>
      <c r="K117" s="72">
        <v>34</v>
      </c>
      <c r="L117" s="75">
        <f>'TABLA SALARIAL 2024 (23 X 2%)'!$J$3</f>
        <v>656.23</v>
      </c>
      <c r="M117" s="75">
        <f>G117*'TABLA SALARIAL 2024 (23 X 2%)'!$K$3</f>
        <v>16.16</v>
      </c>
      <c r="N117" s="75">
        <f t="shared" si="58"/>
        <v>309.97000000000003</v>
      </c>
      <c r="O117" s="75">
        <f>'TABLA SALARIAL 2024 (23 X 2%)'!$B$25</f>
        <v>364.97</v>
      </c>
      <c r="P117" s="4">
        <f>'TABLA SALARIAL 2024 (23 X 2%)'!$G$20</f>
        <v>822.46</v>
      </c>
      <c r="Q117" s="75">
        <f>'TABLA SALARIAL 2024 (23 X 2%)'!$J$5</f>
        <v>100.71</v>
      </c>
      <c r="R117" s="71"/>
      <c r="S117" s="75"/>
      <c r="T117" s="75">
        <f>'TABLA SALARIAL 2024 (23 X 2%)'!$J$4</f>
        <v>656.23</v>
      </c>
      <c r="U117" s="75">
        <f>G117*'TABLA SALARIAL 2024 (23 X 2%)'!$K$3</f>
        <v>16.16</v>
      </c>
      <c r="V117" s="76">
        <v>7</v>
      </c>
      <c r="W117" s="71">
        <f t="shared" si="41"/>
        <v>4593.6099999999997</v>
      </c>
      <c r="X117" s="71">
        <f t="shared" si="63"/>
        <v>113.12</v>
      </c>
      <c r="Y117" s="71">
        <f t="shared" si="60"/>
        <v>2169.79</v>
      </c>
      <c r="Z117" s="71">
        <f t="shared" si="44"/>
        <v>2554.79</v>
      </c>
      <c r="AA117" s="71">
        <f t="shared" si="45"/>
        <v>5757.22</v>
      </c>
      <c r="AB117" s="71">
        <f t="shared" si="46"/>
        <v>704.97</v>
      </c>
      <c r="AC117" s="71">
        <f t="shared" si="47"/>
        <v>0</v>
      </c>
      <c r="AD117" s="71">
        <f t="shared" si="48"/>
        <v>0</v>
      </c>
      <c r="AE117" s="104">
        <f t="shared" si="49"/>
        <v>15893.499999999998</v>
      </c>
      <c r="AF117" s="5">
        <v>0</v>
      </c>
    </row>
    <row r="118" spans="1:35">
      <c r="A118" s="72">
        <v>256</v>
      </c>
      <c r="B118" s="72" t="s">
        <v>316</v>
      </c>
      <c r="C118" s="72" t="s">
        <v>154</v>
      </c>
      <c r="D118" s="139" t="s">
        <v>337</v>
      </c>
      <c r="E118" s="73" t="s">
        <v>164</v>
      </c>
      <c r="F118" s="70" t="s">
        <v>213</v>
      </c>
      <c r="G118" s="70">
        <v>1</v>
      </c>
      <c r="H118" s="74">
        <v>46342</v>
      </c>
      <c r="I118" s="72" t="s">
        <v>213</v>
      </c>
      <c r="J118" s="72">
        <v>14</v>
      </c>
      <c r="K118" s="72">
        <v>34</v>
      </c>
      <c r="L118" s="75">
        <f>'TABLA SALARIAL 2024 (23 X 2%)'!$J$3</f>
        <v>656.23</v>
      </c>
      <c r="M118" s="75">
        <f>G118*'TABLA SALARIAL 2024 (23 X 2%)'!$K$3</f>
        <v>16.16</v>
      </c>
      <c r="N118" s="75">
        <f t="shared" si="58"/>
        <v>309.97000000000003</v>
      </c>
      <c r="O118" s="75">
        <f>'TABLA SALARIAL 2024 (23 X 2%)'!$B$25</f>
        <v>364.97</v>
      </c>
      <c r="P118" s="4">
        <f>'TABLA SALARIAL 2024 (23 X 2%)'!$G$20</f>
        <v>822.46</v>
      </c>
      <c r="Q118" s="75">
        <f>'TABLA SALARIAL 2024 (23 X 2%)'!$J$5</f>
        <v>100.71</v>
      </c>
      <c r="R118" s="71"/>
      <c r="S118" s="75"/>
      <c r="T118" s="75">
        <f>'TABLA SALARIAL 2024 (23 X 2%)'!$J$4</f>
        <v>656.23</v>
      </c>
      <c r="U118" s="75">
        <f>G118*'TABLA SALARIAL 2024 (23 X 2%)'!$K$3</f>
        <v>16.16</v>
      </c>
      <c r="V118" s="76">
        <v>7</v>
      </c>
      <c r="W118" s="71">
        <f t="shared" si="41"/>
        <v>4593.6099999999997</v>
      </c>
      <c r="X118" s="71">
        <f t="shared" si="63"/>
        <v>113.12</v>
      </c>
      <c r="Y118" s="71">
        <f t="shared" si="60"/>
        <v>2169.79</v>
      </c>
      <c r="Z118" s="71">
        <f t="shared" si="44"/>
        <v>2554.79</v>
      </c>
      <c r="AA118" s="71">
        <f t="shared" si="45"/>
        <v>5757.22</v>
      </c>
      <c r="AB118" s="71">
        <f t="shared" si="46"/>
        <v>704.97</v>
      </c>
      <c r="AC118" s="71">
        <f t="shared" si="47"/>
        <v>0</v>
      </c>
      <c r="AD118" s="71">
        <f t="shared" si="48"/>
        <v>0</v>
      </c>
      <c r="AE118" s="104">
        <f t="shared" si="49"/>
        <v>15893.499999999998</v>
      </c>
      <c r="AF118" s="5">
        <v>0</v>
      </c>
    </row>
    <row r="119" spans="1:35">
      <c r="A119" s="72">
        <v>257</v>
      </c>
      <c r="B119" s="72" t="s">
        <v>317</v>
      </c>
      <c r="C119" s="72" t="s">
        <v>155</v>
      </c>
      <c r="D119" s="139" t="s">
        <v>236</v>
      </c>
      <c r="E119" s="73" t="s">
        <v>164</v>
      </c>
      <c r="F119" s="70" t="s">
        <v>213</v>
      </c>
      <c r="G119" s="70">
        <v>1</v>
      </c>
      <c r="H119" s="74">
        <v>46342</v>
      </c>
      <c r="I119" s="72" t="s">
        <v>213</v>
      </c>
      <c r="J119" s="72">
        <v>14</v>
      </c>
      <c r="K119" s="72">
        <v>34</v>
      </c>
      <c r="L119" s="75">
        <f>'TABLA SALARIAL 2024 (23 X 2%)'!$J$3</f>
        <v>656.23</v>
      </c>
      <c r="M119" s="75">
        <f>G119*'TABLA SALARIAL 2024 (23 X 2%)'!$K$3</f>
        <v>16.16</v>
      </c>
      <c r="N119" s="75">
        <f t="shared" si="58"/>
        <v>309.97000000000003</v>
      </c>
      <c r="O119" s="75">
        <f>'TABLA SALARIAL 2024 (23 X 2%)'!$B$25</f>
        <v>364.97</v>
      </c>
      <c r="P119" s="4">
        <f>'TABLA SALARIAL 2024 (23 X 2%)'!$G$20</f>
        <v>822.46</v>
      </c>
      <c r="Q119" s="75">
        <f>'TABLA SALARIAL 2024 (23 X 2%)'!$J$5</f>
        <v>100.71</v>
      </c>
      <c r="R119" s="71"/>
      <c r="S119" s="75"/>
      <c r="T119" s="75">
        <f>'TABLA SALARIAL 2024 (23 X 2%)'!$J$4</f>
        <v>656.23</v>
      </c>
      <c r="U119" s="75">
        <f>G119*'TABLA SALARIAL 2024 (23 X 2%)'!$K$3</f>
        <v>16.16</v>
      </c>
      <c r="V119" s="76">
        <v>7</v>
      </c>
      <c r="W119" s="71">
        <f t="shared" si="41"/>
        <v>4593.6099999999997</v>
      </c>
      <c r="X119" s="71">
        <f t="shared" si="63"/>
        <v>113.12</v>
      </c>
      <c r="Y119" s="71">
        <f t="shared" si="60"/>
        <v>2169.79</v>
      </c>
      <c r="Z119" s="71">
        <f t="shared" si="44"/>
        <v>2554.79</v>
      </c>
      <c r="AA119" s="71">
        <f t="shared" si="45"/>
        <v>5757.22</v>
      </c>
      <c r="AB119" s="71">
        <f t="shared" si="46"/>
        <v>704.97</v>
      </c>
      <c r="AC119" s="71">
        <f t="shared" si="47"/>
        <v>0</v>
      </c>
      <c r="AD119" s="71">
        <f t="shared" si="48"/>
        <v>0</v>
      </c>
      <c r="AE119" s="104">
        <f t="shared" si="49"/>
        <v>15893.499999999998</v>
      </c>
      <c r="AF119" s="5">
        <v>0</v>
      </c>
    </row>
    <row r="120" spans="1:35">
      <c r="A120" s="72">
        <v>258</v>
      </c>
      <c r="B120" s="72" t="s">
        <v>318</v>
      </c>
      <c r="C120" s="72" t="s">
        <v>156</v>
      </c>
      <c r="D120" s="139" t="s">
        <v>237</v>
      </c>
      <c r="E120" s="73" t="s">
        <v>164</v>
      </c>
      <c r="F120" s="70" t="s">
        <v>213</v>
      </c>
      <c r="G120" s="70">
        <v>1</v>
      </c>
      <c r="H120" s="74">
        <v>46342</v>
      </c>
      <c r="I120" s="72" t="s">
        <v>213</v>
      </c>
      <c r="J120" s="72">
        <v>14</v>
      </c>
      <c r="K120" s="72">
        <v>34</v>
      </c>
      <c r="L120" s="75">
        <f>'TABLA SALARIAL 2024 (23 X 2%)'!$J$3</f>
        <v>656.23</v>
      </c>
      <c r="M120" s="75">
        <f>G120*'TABLA SALARIAL 2024 (23 X 2%)'!$K$3</f>
        <v>16.16</v>
      </c>
      <c r="N120" s="75">
        <f t="shared" si="58"/>
        <v>309.97000000000003</v>
      </c>
      <c r="O120" s="75">
        <f>'TABLA SALARIAL 2024 (23 X 2%)'!$B$25</f>
        <v>364.97</v>
      </c>
      <c r="P120" s="4">
        <f>'TABLA SALARIAL 2024 (23 X 2%)'!$G$20</f>
        <v>822.46</v>
      </c>
      <c r="Q120" s="75">
        <f>'TABLA SALARIAL 2024 (23 X 2%)'!$J$5</f>
        <v>100.71</v>
      </c>
      <c r="R120" s="71"/>
      <c r="S120" s="75"/>
      <c r="T120" s="75">
        <f>'TABLA SALARIAL 2024 (23 X 2%)'!$J$4</f>
        <v>656.23</v>
      </c>
      <c r="U120" s="75">
        <f>G120*'TABLA SALARIAL 2024 (23 X 2%)'!$K$3</f>
        <v>16.16</v>
      </c>
      <c r="V120" s="76">
        <v>7</v>
      </c>
      <c r="W120" s="71">
        <f t="shared" si="41"/>
        <v>4593.6099999999997</v>
      </c>
      <c r="X120" s="71">
        <f t="shared" si="63"/>
        <v>113.12</v>
      </c>
      <c r="Y120" s="71">
        <f t="shared" si="60"/>
        <v>2169.79</v>
      </c>
      <c r="Z120" s="71">
        <f t="shared" si="44"/>
        <v>2554.79</v>
      </c>
      <c r="AA120" s="71">
        <f t="shared" si="45"/>
        <v>5757.22</v>
      </c>
      <c r="AB120" s="71">
        <f t="shared" si="46"/>
        <v>704.97</v>
      </c>
      <c r="AC120" s="71">
        <f t="shared" si="47"/>
        <v>0</v>
      </c>
      <c r="AD120" s="71">
        <f t="shared" si="48"/>
        <v>0</v>
      </c>
      <c r="AE120" s="104">
        <f t="shared" si="49"/>
        <v>15893.499999999998</v>
      </c>
      <c r="AF120" s="5">
        <v>0</v>
      </c>
    </row>
    <row r="121" spans="1:35">
      <c r="A121" s="72">
        <v>264</v>
      </c>
      <c r="B121" s="72" t="s">
        <v>323</v>
      </c>
      <c r="C121" s="72" t="s">
        <v>157</v>
      </c>
      <c r="D121" s="139" t="s">
        <v>238</v>
      </c>
      <c r="E121" s="73" t="s">
        <v>164</v>
      </c>
      <c r="F121" s="70" t="s">
        <v>213</v>
      </c>
      <c r="G121" s="70">
        <v>1</v>
      </c>
      <c r="H121" s="74">
        <v>46601</v>
      </c>
      <c r="I121" s="72" t="s">
        <v>213</v>
      </c>
      <c r="J121" s="72">
        <v>14</v>
      </c>
      <c r="K121" s="72">
        <v>34</v>
      </c>
      <c r="L121" s="75">
        <f>'TABLA SALARIAL 2024 (23 X 2%)'!$J$3</f>
        <v>656.23</v>
      </c>
      <c r="M121" s="75">
        <f>G121*'TABLA SALARIAL 2024 (23 X 2%)'!$K$3</f>
        <v>16.16</v>
      </c>
      <c r="N121" s="75">
        <f>((T121+U121+O121+P121)/12)+((O121+P121+T121+16.08)/12)</f>
        <v>309.96333333333337</v>
      </c>
      <c r="O121" s="75">
        <f>'TABLA SALARIAL 2024 (23 X 2%)'!$B$25</f>
        <v>364.97</v>
      </c>
      <c r="P121" s="4">
        <f>'TABLA SALARIAL 2024 (23 X 2%)'!$G$20</f>
        <v>822.46</v>
      </c>
      <c r="Q121" s="75">
        <f>'TABLA SALARIAL 2024 (23 X 2%)'!$J$5</f>
        <v>100.71</v>
      </c>
      <c r="R121" s="71"/>
      <c r="S121" s="75"/>
      <c r="T121" s="75">
        <f>'TABLA SALARIAL 2024 (23 X 2%)'!$J$4</f>
        <v>656.23</v>
      </c>
      <c r="U121" s="75">
        <f>G121*'TABLA SALARIAL 2024 (23 X 2%)'!$K$3</f>
        <v>16.16</v>
      </c>
      <c r="V121" s="76">
        <v>7</v>
      </c>
      <c r="W121" s="71">
        <f t="shared" si="41"/>
        <v>4593.6099999999997</v>
      </c>
      <c r="X121" s="71">
        <f>1*16.08*4</f>
        <v>64.319999999999993</v>
      </c>
      <c r="Y121" s="71">
        <f>ROUND(N121*V121,2)</f>
        <v>2169.7399999999998</v>
      </c>
      <c r="Z121" s="71">
        <f t="shared" si="44"/>
        <v>2554.79</v>
      </c>
      <c r="AA121" s="71">
        <f t="shared" si="45"/>
        <v>5757.22</v>
      </c>
      <c r="AB121" s="71">
        <f t="shared" si="46"/>
        <v>704.97</v>
      </c>
      <c r="AC121" s="71">
        <f t="shared" si="47"/>
        <v>0</v>
      </c>
      <c r="AD121" s="71">
        <f t="shared" si="48"/>
        <v>0</v>
      </c>
      <c r="AE121" s="104">
        <f t="shared" si="49"/>
        <v>15844.65</v>
      </c>
      <c r="AF121" s="5">
        <v>0</v>
      </c>
    </row>
    <row r="122" spans="1:35">
      <c r="A122" s="72">
        <v>259</v>
      </c>
      <c r="B122" s="72" t="s">
        <v>319</v>
      </c>
      <c r="C122" s="72" t="s">
        <v>158</v>
      </c>
      <c r="D122" s="139" t="s">
        <v>240</v>
      </c>
      <c r="E122" s="73" t="s">
        <v>164</v>
      </c>
      <c r="F122" s="70" t="s">
        <v>213</v>
      </c>
      <c r="G122" s="70">
        <v>1</v>
      </c>
      <c r="H122" s="74">
        <v>46342</v>
      </c>
      <c r="I122" s="72" t="s">
        <v>213</v>
      </c>
      <c r="J122" s="72">
        <v>14</v>
      </c>
      <c r="K122" s="72">
        <v>34</v>
      </c>
      <c r="L122" s="75">
        <f>'TABLA SALARIAL 2024 (23 X 2%)'!$J$3</f>
        <v>656.23</v>
      </c>
      <c r="M122" s="75">
        <f>G122*'TABLA SALARIAL 2024 (23 X 2%)'!$K$3</f>
        <v>16.16</v>
      </c>
      <c r="N122" s="75">
        <f t="shared" si="58"/>
        <v>309.97000000000003</v>
      </c>
      <c r="O122" s="75">
        <f>'TABLA SALARIAL 2024 (23 X 2%)'!$B$25</f>
        <v>364.97</v>
      </c>
      <c r="P122" s="4">
        <f>'TABLA SALARIAL 2024 (23 X 2%)'!$G$20</f>
        <v>822.46</v>
      </c>
      <c r="Q122" s="75">
        <f>'TABLA SALARIAL 2024 (23 X 2%)'!$J$5</f>
        <v>100.71</v>
      </c>
      <c r="R122" s="71"/>
      <c r="S122" s="75"/>
      <c r="T122" s="75">
        <f>'TABLA SALARIAL 2024 (23 X 2%)'!$J$4</f>
        <v>656.23</v>
      </c>
      <c r="U122" s="75">
        <f>G122*'TABLA SALARIAL 2024 (23 X 2%)'!$K$3</f>
        <v>16.16</v>
      </c>
      <c r="V122" s="76">
        <v>7</v>
      </c>
      <c r="W122" s="71">
        <f t="shared" si="41"/>
        <v>4593.6099999999997</v>
      </c>
      <c r="X122" s="71">
        <f>ROUND(M122*V122,2)</f>
        <v>113.12</v>
      </c>
      <c r="Y122" s="71">
        <f>ROUND(N122*V122,2)</f>
        <v>2169.79</v>
      </c>
      <c r="Z122" s="71">
        <f t="shared" si="44"/>
        <v>2554.79</v>
      </c>
      <c r="AA122" s="71">
        <f t="shared" si="45"/>
        <v>5757.22</v>
      </c>
      <c r="AB122" s="71">
        <f t="shared" si="46"/>
        <v>704.97</v>
      </c>
      <c r="AC122" s="71">
        <f t="shared" si="47"/>
        <v>0</v>
      </c>
      <c r="AD122" s="71">
        <f t="shared" si="48"/>
        <v>0</v>
      </c>
      <c r="AE122" s="104">
        <f t="shared" si="49"/>
        <v>15893.499999999998</v>
      </c>
      <c r="AF122" s="5">
        <v>0</v>
      </c>
    </row>
    <row r="123" spans="1:35">
      <c r="A123" s="86"/>
      <c r="B123" s="87"/>
      <c r="C123" s="87"/>
      <c r="D123" s="88"/>
      <c r="E123" s="89"/>
      <c r="F123" s="90"/>
      <c r="G123" s="90"/>
      <c r="H123" s="91"/>
      <c r="I123" s="87"/>
      <c r="J123" s="87"/>
      <c r="K123" s="87"/>
      <c r="L123" s="92"/>
      <c r="M123" s="92"/>
      <c r="N123" s="92"/>
      <c r="O123" s="92"/>
      <c r="P123" s="92"/>
      <c r="Q123" s="92"/>
      <c r="R123" s="93"/>
      <c r="S123" s="92"/>
      <c r="T123" s="92"/>
      <c r="U123" s="92"/>
      <c r="V123" s="88"/>
      <c r="W123" s="93"/>
      <c r="X123" s="93">
        <f>SUM(X60:X122)</f>
        <v>42741.840000000077</v>
      </c>
      <c r="Y123" s="93"/>
      <c r="Z123" s="93"/>
      <c r="AA123" s="93"/>
      <c r="AB123" s="93"/>
      <c r="AC123" s="93"/>
      <c r="AD123" s="93"/>
      <c r="AE123" s="105">
        <f>SUM(AE60:AE122)</f>
        <v>996065.16</v>
      </c>
      <c r="AF123" s="105">
        <f>SUM(AF60:AF122)</f>
        <v>0</v>
      </c>
    </row>
    <row r="124" spans="1:35">
      <c r="A124" s="256"/>
      <c r="B124" s="257"/>
      <c r="C124" s="257"/>
      <c r="D124" s="257"/>
      <c r="E124" s="257"/>
      <c r="F124" s="257"/>
      <c r="G124" s="257"/>
      <c r="H124" s="257"/>
      <c r="I124" s="257"/>
      <c r="J124" s="257"/>
      <c r="K124" s="257"/>
      <c r="L124" s="257"/>
      <c r="M124" s="257"/>
      <c r="N124" s="257"/>
      <c r="O124" s="257"/>
      <c r="P124" s="257"/>
      <c r="Q124" s="257"/>
      <c r="R124" s="257"/>
      <c r="S124" s="257"/>
      <c r="T124" s="257"/>
      <c r="U124" s="257"/>
      <c r="V124" s="257"/>
      <c r="W124" s="257"/>
      <c r="X124" s="257"/>
      <c r="Y124" s="257"/>
      <c r="Z124" s="257"/>
      <c r="AA124" s="257"/>
      <c r="AB124" s="257"/>
      <c r="AC124" s="257"/>
      <c r="AD124" s="257"/>
      <c r="AE124" s="257"/>
      <c r="AF124" s="115"/>
    </row>
    <row r="125" spans="1:35">
      <c r="A125" s="50"/>
      <c r="B125" s="51"/>
      <c r="C125" s="51"/>
      <c r="D125" s="51" t="s">
        <v>208</v>
      </c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3"/>
    </row>
    <row r="126" spans="1:35" ht="26.25">
      <c r="A126" s="50" t="s">
        <v>52</v>
      </c>
      <c r="B126" s="50"/>
      <c r="C126" s="50" t="s">
        <v>51</v>
      </c>
      <c r="D126" s="53" t="s">
        <v>90</v>
      </c>
      <c r="E126" s="50" t="s">
        <v>91</v>
      </c>
      <c r="F126" s="54" t="s">
        <v>124</v>
      </c>
      <c r="G126" s="54" t="s">
        <v>176</v>
      </c>
      <c r="H126" s="54" t="s">
        <v>125</v>
      </c>
      <c r="I126" s="50" t="s">
        <v>32</v>
      </c>
      <c r="J126" s="50" t="s">
        <v>167</v>
      </c>
      <c r="K126" s="50" t="s">
        <v>168</v>
      </c>
      <c r="L126" s="55" t="s">
        <v>92</v>
      </c>
      <c r="M126" s="55" t="s">
        <v>93</v>
      </c>
      <c r="N126" s="55" t="s">
        <v>94</v>
      </c>
      <c r="O126" s="55" t="s">
        <v>95</v>
      </c>
      <c r="P126" s="55" t="s">
        <v>96</v>
      </c>
      <c r="Q126" s="55" t="s">
        <v>97</v>
      </c>
      <c r="R126" s="55" t="s">
        <v>98</v>
      </c>
      <c r="S126" s="55" t="s">
        <v>99</v>
      </c>
      <c r="T126" s="55" t="s">
        <v>100</v>
      </c>
      <c r="U126" s="55" t="s">
        <v>101</v>
      </c>
      <c r="V126" s="50" t="s">
        <v>102</v>
      </c>
      <c r="W126" s="55" t="s">
        <v>103</v>
      </c>
      <c r="X126" s="55" t="s">
        <v>104</v>
      </c>
      <c r="Y126" s="55" t="s">
        <v>105</v>
      </c>
      <c r="Z126" s="55" t="s">
        <v>106</v>
      </c>
      <c r="AA126" s="55" t="s">
        <v>107</v>
      </c>
      <c r="AB126" s="55" t="s">
        <v>108</v>
      </c>
      <c r="AC126" s="55" t="s">
        <v>109</v>
      </c>
      <c r="AD126" s="55" t="s">
        <v>110</v>
      </c>
      <c r="AE126" s="69" t="s">
        <v>422</v>
      </c>
      <c r="AF126" s="132" t="s">
        <v>343</v>
      </c>
    </row>
    <row r="127" spans="1:35">
      <c r="A127" s="16">
        <v>60</v>
      </c>
      <c r="B127" s="16" t="s">
        <v>270</v>
      </c>
      <c r="C127" s="16" t="s">
        <v>17</v>
      </c>
      <c r="D127" s="144" t="s">
        <v>64</v>
      </c>
      <c r="E127" s="6" t="s">
        <v>114</v>
      </c>
      <c r="F127" s="7" t="s">
        <v>126</v>
      </c>
      <c r="G127" s="7">
        <v>8</v>
      </c>
      <c r="H127" s="17">
        <v>46091</v>
      </c>
      <c r="I127" s="16" t="s">
        <v>7</v>
      </c>
      <c r="J127" s="16">
        <v>22</v>
      </c>
      <c r="K127" s="16">
        <v>52</v>
      </c>
      <c r="L127" s="4">
        <f>'TABLA SALARIAL 2024 (23 X 2%)'!F3</f>
        <v>861.46</v>
      </c>
      <c r="M127" s="4">
        <f>G127*'TABLA SALARIAL 2024 (23 X 2%)'!G3</f>
        <v>252.24</v>
      </c>
      <c r="N127" s="4">
        <f t="shared" ref="N127:N131" si="64">ROUND((T127+U127+O127+P127)*2/12,2)</f>
        <v>471.69</v>
      </c>
      <c r="O127" s="4">
        <f>'TABLA SALARIAL 2024 (23 X 2%)'!B17</f>
        <v>610</v>
      </c>
      <c r="P127" s="4">
        <f>'TABLA SALARIAL 2024 (23 X 2%)'!G14</f>
        <v>1257.8800000000001</v>
      </c>
      <c r="Q127" s="4">
        <f>'TABLA SALARIAL 2024 (23 X 2%)'!F5</f>
        <v>138.32</v>
      </c>
      <c r="R127" s="5"/>
      <c r="S127" s="4"/>
      <c r="T127" s="4">
        <f>'TABLA SALARIAL 2024 (23 X 2%)'!F4</f>
        <v>744.56</v>
      </c>
      <c r="U127" s="4">
        <f>G127*'TABLA SALARIAL 2024 (23 X 2%)'!G4</f>
        <v>217.68</v>
      </c>
      <c r="V127" s="76">
        <v>7</v>
      </c>
      <c r="W127" s="5">
        <f>ROUND(L127*V127,2)</f>
        <v>6030.22</v>
      </c>
      <c r="X127" s="5">
        <f>ROUND(M127*V127,2)</f>
        <v>1765.68</v>
      </c>
      <c r="Y127" s="5">
        <f>ROUND(N127*V127,2)</f>
        <v>3301.83</v>
      </c>
      <c r="Z127" s="5">
        <f t="shared" ref="Z127:Z131" si="65">ROUND(O127*V127,2)</f>
        <v>4270</v>
      </c>
      <c r="AA127" s="5">
        <f t="shared" ref="AA127:AA131" si="66">ROUND(P127*V127,2)</f>
        <v>8805.16</v>
      </c>
      <c r="AB127" s="5">
        <f t="shared" ref="AB127:AB131" si="67">ROUND(Q127*V127,2)</f>
        <v>968.24</v>
      </c>
      <c r="AC127" s="5">
        <f>ROUND(R127*V127,2)</f>
        <v>0</v>
      </c>
      <c r="AD127" s="5">
        <f>ROUND(S127*V127,2)</f>
        <v>0</v>
      </c>
      <c r="AE127" s="101">
        <f>W127+X127+Y127+Z127+AA127+AB127</f>
        <v>25141.13</v>
      </c>
      <c r="AF127" s="5">
        <v>0</v>
      </c>
    </row>
    <row r="128" spans="1:35">
      <c r="A128" s="72">
        <v>53</v>
      </c>
      <c r="B128" s="72" t="s">
        <v>264</v>
      </c>
      <c r="C128" s="72" t="s">
        <v>13</v>
      </c>
      <c r="D128" s="135" t="s">
        <v>60</v>
      </c>
      <c r="E128" s="73" t="s">
        <v>116</v>
      </c>
      <c r="F128" s="70" t="s">
        <v>0</v>
      </c>
      <c r="G128" s="70">
        <f>'trienios 2025'!F13</f>
        <v>8</v>
      </c>
      <c r="H128" s="74">
        <v>45748</v>
      </c>
      <c r="I128" s="72" t="s">
        <v>0</v>
      </c>
      <c r="J128" s="72">
        <v>15</v>
      </c>
      <c r="K128" s="72">
        <v>37</v>
      </c>
      <c r="L128" s="75">
        <f>'TABLA SALARIAL 2024 (23 X 2%)'!$H$3</f>
        <v>716.98</v>
      </c>
      <c r="M128" s="75">
        <f>G128*'TABLA SALARIAL 2024 (23 X 2%)'!$I$3</f>
        <v>171.68</v>
      </c>
      <c r="N128" s="4">
        <f t="shared" si="64"/>
        <v>361.2</v>
      </c>
      <c r="O128" s="75">
        <f>'TABLA SALARIAL 2024 (23 X 2%)'!$B$24</f>
        <v>391.78</v>
      </c>
      <c r="P128" s="4">
        <f>'TABLA SALARIAL 2024 (23 X 2%)'!$G$18</f>
        <v>895.03000000000009</v>
      </c>
      <c r="Q128" s="75">
        <f>'TABLA SALARIAL 2024 (23 X 2%)'!$H$5</f>
        <v>114.02</v>
      </c>
      <c r="R128" s="71"/>
      <c r="S128" s="75"/>
      <c r="T128" s="75">
        <f>'TABLA SALARIAL 2024 (23 X 2%)'!$H$4</f>
        <v>710.44</v>
      </c>
      <c r="U128" s="75">
        <f>G128*'TABLA SALARIAL 2024 (23 X 2%)'!$I$4</f>
        <v>169.92</v>
      </c>
      <c r="V128" s="76">
        <v>7</v>
      </c>
      <c r="W128" s="71">
        <f>ROUND(L128*V128,2)</f>
        <v>5018.8599999999997</v>
      </c>
      <c r="X128" s="71">
        <f>ROUND(M128*V128,2)</f>
        <v>1201.76</v>
      </c>
      <c r="Y128" s="71">
        <f>ROUND(N128*V128,2)</f>
        <v>2528.4</v>
      </c>
      <c r="Z128" s="71">
        <f t="shared" si="65"/>
        <v>2742.46</v>
      </c>
      <c r="AA128" s="71">
        <f t="shared" si="66"/>
        <v>6265.21</v>
      </c>
      <c r="AB128" s="71">
        <f t="shared" si="67"/>
        <v>798.14</v>
      </c>
      <c r="AC128" s="71">
        <f>ROUND(R128*V128,2)</f>
        <v>0</v>
      </c>
      <c r="AD128" s="71">
        <f>ROUND(S128*V128,2)</f>
        <v>0</v>
      </c>
      <c r="AE128" s="104">
        <f>W128+X128+Y128+Z128+AA128+AB128</f>
        <v>18554.829999999998</v>
      </c>
      <c r="AF128" s="5">
        <v>0</v>
      </c>
    </row>
    <row r="129" spans="1:32">
      <c r="A129" s="72">
        <v>65</v>
      </c>
      <c r="B129" s="72" t="s">
        <v>254</v>
      </c>
      <c r="C129" s="72" t="s">
        <v>20</v>
      </c>
      <c r="D129" s="135" t="s">
        <v>66</v>
      </c>
      <c r="E129" s="73" t="s">
        <v>116</v>
      </c>
      <c r="F129" s="70" t="s">
        <v>0</v>
      </c>
      <c r="G129" s="70">
        <v>8</v>
      </c>
      <c r="H129" s="74">
        <v>46608</v>
      </c>
      <c r="I129" s="72" t="s">
        <v>0</v>
      </c>
      <c r="J129" s="72">
        <v>15</v>
      </c>
      <c r="K129" s="72">
        <v>37</v>
      </c>
      <c r="L129" s="75">
        <f>'TABLA SALARIAL 2024 (23 X 2%)'!$H$3</f>
        <v>716.98</v>
      </c>
      <c r="M129" s="75">
        <f>G129*'TABLA SALARIAL 2024 (23 X 2%)'!$I$3</f>
        <v>171.68</v>
      </c>
      <c r="N129" s="4">
        <f t="shared" si="64"/>
        <v>361.2</v>
      </c>
      <c r="O129" s="75">
        <f>'TABLA SALARIAL 2024 (23 X 2%)'!$B$24</f>
        <v>391.78</v>
      </c>
      <c r="P129" s="4">
        <f>'TABLA SALARIAL 2024 (23 X 2%)'!$G$18</f>
        <v>895.03000000000009</v>
      </c>
      <c r="Q129" s="75">
        <f>'TABLA SALARIAL 2024 (23 X 2%)'!$H$5</f>
        <v>114.02</v>
      </c>
      <c r="R129" s="71"/>
      <c r="S129" s="75"/>
      <c r="T129" s="75">
        <f>'TABLA SALARIAL 2024 (23 X 2%)'!$H$4</f>
        <v>710.44</v>
      </c>
      <c r="U129" s="75">
        <f>G129*'TABLA SALARIAL 2024 (23 X 2%)'!$I$4</f>
        <v>169.92</v>
      </c>
      <c r="V129" s="76">
        <v>7</v>
      </c>
      <c r="W129" s="71">
        <f>ROUND(L129*V129,2)</f>
        <v>5018.8599999999997</v>
      </c>
      <c r="X129" s="71">
        <f>ROUND(M129*V129,2)</f>
        <v>1201.76</v>
      </c>
      <c r="Y129" s="71">
        <f>ROUND(N129*V129,2)</f>
        <v>2528.4</v>
      </c>
      <c r="Z129" s="71">
        <f t="shared" si="65"/>
        <v>2742.46</v>
      </c>
      <c r="AA129" s="71">
        <f t="shared" si="66"/>
        <v>6265.21</v>
      </c>
      <c r="AB129" s="71">
        <f t="shared" si="67"/>
        <v>798.14</v>
      </c>
      <c r="AC129" s="71">
        <f>ROUND(R129*V129,2)</f>
        <v>0</v>
      </c>
      <c r="AD129" s="71">
        <f>ROUND(S129*V129,2)</f>
        <v>0</v>
      </c>
      <c r="AE129" s="104">
        <f>W129+X129+Y129+Z129+AA129+AB129</f>
        <v>18554.829999999998</v>
      </c>
      <c r="AF129" s="5">
        <v>0</v>
      </c>
    </row>
    <row r="130" spans="1:32">
      <c r="A130" s="72"/>
      <c r="B130" s="83" t="s">
        <v>320</v>
      </c>
      <c r="C130" s="72" t="s">
        <v>211</v>
      </c>
      <c r="D130" s="139" t="s">
        <v>215</v>
      </c>
      <c r="E130" s="73" t="s">
        <v>164</v>
      </c>
      <c r="F130" s="70" t="s">
        <v>213</v>
      </c>
      <c r="G130" s="70">
        <v>1</v>
      </c>
      <c r="H130" s="74">
        <v>46342</v>
      </c>
      <c r="I130" s="72" t="s">
        <v>213</v>
      </c>
      <c r="J130" s="72">
        <v>14</v>
      </c>
      <c r="K130" s="72">
        <v>34</v>
      </c>
      <c r="L130" s="75">
        <f>'TABLA SALARIAL 2024 (23 X 2%)'!$J$3</f>
        <v>656.23</v>
      </c>
      <c r="M130" s="75">
        <f>G130*'TABLA SALARIAL 2024 (23 X 2%)'!$K$3</f>
        <v>16.16</v>
      </c>
      <c r="N130" s="4">
        <f t="shared" si="64"/>
        <v>309.97000000000003</v>
      </c>
      <c r="O130" s="75">
        <f>'TABLA SALARIAL 2024 (23 X 2%)'!$B$25</f>
        <v>364.97</v>
      </c>
      <c r="P130" s="4">
        <f>'TABLA SALARIAL 2024 (23 X 2%)'!$G$20</f>
        <v>822.46</v>
      </c>
      <c r="Q130" s="75">
        <f>'TABLA SALARIAL 2024 (23 X 2%)'!$J$5</f>
        <v>100.71</v>
      </c>
      <c r="R130" s="71"/>
      <c r="S130" s="75"/>
      <c r="T130" s="75">
        <f>'TABLA SALARIAL 2024 (23 X 2%)'!$J$4</f>
        <v>656.23</v>
      </c>
      <c r="U130" s="75">
        <f>G130*'TABLA SALARIAL 2024 (23 X 2%)'!$K$3</f>
        <v>16.16</v>
      </c>
      <c r="V130" s="76">
        <v>7</v>
      </c>
      <c r="W130" s="71">
        <f t="shared" ref="W130:W131" si="68">ROUND(L130*V130,2)</f>
        <v>4593.6099999999997</v>
      </c>
      <c r="X130" s="71">
        <f>ROUND(M130*V130,2)</f>
        <v>113.12</v>
      </c>
      <c r="Y130" s="71">
        <f>ROUND(N130*V130,2)</f>
        <v>2169.79</v>
      </c>
      <c r="Z130" s="71">
        <f t="shared" si="65"/>
        <v>2554.79</v>
      </c>
      <c r="AA130" s="71">
        <f t="shared" si="66"/>
        <v>5757.22</v>
      </c>
      <c r="AB130" s="71">
        <f t="shared" si="67"/>
        <v>704.97</v>
      </c>
      <c r="AC130" s="71">
        <f t="shared" ref="AC130:AC131" si="69">ROUND(R130*V130,2)</f>
        <v>0</v>
      </c>
      <c r="AD130" s="71">
        <f t="shared" ref="AD130:AD131" si="70">ROUND(S130*V130,2)</f>
        <v>0</v>
      </c>
      <c r="AE130" s="104">
        <f t="shared" ref="AE130:AE131" si="71">W130+X130+Y130+Z130+AA130+AB130</f>
        <v>15893.499999999998</v>
      </c>
      <c r="AF130" s="5">
        <v>0</v>
      </c>
    </row>
    <row r="131" spans="1:32">
      <c r="A131" s="72"/>
      <c r="B131" s="72" t="s">
        <v>299</v>
      </c>
      <c r="C131" s="72" t="s">
        <v>212</v>
      </c>
      <c r="D131" s="139" t="s">
        <v>216</v>
      </c>
      <c r="E131" s="73" t="s">
        <v>164</v>
      </c>
      <c r="F131" s="70" t="s">
        <v>213</v>
      </c>
      <c r="G131" s="70">
        <v>1</v>
      </c>
      <c r="H131" s="74">
        <v>46342</v>
      </c>
      <c r="I131" s="72" t="s">
        <v>213</v>
      </c>
      <c r="J131" s="72">
        <v>14</v>
      </c>
      <c r="K131" s="72">
        <v>34</v>
      </c>
      <c r="L131" s="75">
        <f>'TABLA SALARIAL 2024 (23 X 2%)'!$J$3</f>
        <v>656.23</v>
      </c>
      <c r="M131" s="75">
        <f>G131*'TABLA SALARIAL 2024 (23 X 2%)'!$K$3</f>
        <v>16.16</v>
      </c>
      <c r="N131" s="4">
        <f t="shared" si="64"/>
        <v>309.97000000000003</v>
      </c>
      <c r="O131" s="75">
        <f>'TABLA SALARIAL 2024 (23 X 2%)'!$B$25</f>
        <v>364.97</v>
      </c>
      <c r="P131" s="4">
        <f>'TABLA SALARIAL 2024 (23 X 2%)'!$G$20</f>
        <v>822.46</v>
      </c>
      <c r="Q131" s="75">
        <f>'TABLA SALARIAL 2024 (23 X 2%)'!$J$5</f>
        <v>100.71</v>
      </c>
      <c r="R131" s="71"/>
      <c r="S131" s="75"/>
      <c r="T131" s="75">
        <f>'TABLA SALARIAL 2024 (23 X 2%)'!$J$4</f>
        <v>656.23</v>
      </c>
      <c r="U131" s="75">
        <f>G131*'TABLA SALARIAL 2024 (23 X 2%)'!$K$3</f>
        <v>16.16</v>
      </c>
      <c r="V131" s="76">
        <v>7</v>
      </c>
      <c r="W131" s="71">
        <f t="shared" si="68"/>
        <v>4593.6099999999997</v>
      </c>
      <c r="X131" s="71">
        <f>16.08*1*4</f>
        <v>64.319999999999993</v>
      </c>
      <c r="Y131" s="71">
        <f>ROUND(N131*V131,2)</f>
        <v>2169.79</v>
      </c>
      <c r="Z131" s="71">
        <f t="shared" si="65"/>
        <v>2554.79</v>
      </c>
      <c r="AA131" s="71">
        <f t="shared" si="66"/>
        <v>5757.22</v>
      </c>
      <c r="AB131" s="71">
        <f t="shared" si="67"/>
        <v>704.97</v>
      </c>
      <c r="AC131" s="71">
        <f t="shared" si="69"/>
        <v>0</v>
      </c>
      <c r="AD131" s="71">
        <f t="shared" si="70"/>
        <v>0</v>
      </c>
      <c r="AE131" s="104">
        <f t="shared" si="71"/>
        <v>15844.699999999999</v>
      </c>
      <c r="AF131" s="5">
        <v>0</v>
      </c>
    </row>
    <row r="132" spans="1:32">
      <c r="X132" s="100">
        <f>SUM(X127:X131)</f>
        <v>4346.6399999999994</v>
      </c>
      <c r="AE132" s="112">
        <f>SUM(AE127:AE131)</f>
        <v>93988.989999999991</v>
      </c>
      <c r="AF132" s="112">
        <f>SUM(AF127:AF131)</f>
        <v>0</v>
      </c>
    </row>
    <row r="135" spans="1:32" ht="28.5" customHeight="1">
      <c r="N135" s="200" t="s">
        <v>423</v>
      </c>
      <c r="O135" s="201">
        <f>AE6+AE15+AE23+AE31+AE39+AE49+AE56+AE123+AE132</f>
        <v>1489796.9186</v>
      </c>
      <c r="AA135" s="264" t="s">
        <v>351</v>
      </c>
      <c r="AB135" s="264"/>
      <c r="AC135" s="264"/>
      <c r="AD135" s="264"/>
      <c r="AE135" s="112">
        <f>AE132+AE123+AE56+AE49+AE39+AE31+AE23+AE15+AE6</f>
        <v>1489796.9185999997</v>
      </c>
      <c r="AF135" s="100"/>
    </row>
    <row r="136" spans="1:32" ht="14.25" customHeight="1">
      <c r="AA136" s="73"/>
      <c r="AB136" s="73"/>
      <c r="AC136" s="73"/>
      <c r="AD136" s="73"/>
      <c r="AE136" s="71"/>
      <c r="AF136" s="100"/>
    </row>
    <row r="137" spans="1:32">
      <c r="AA137" s="248" t="s">
        <v>345</v>
      </c>
      <c r="AB137" s="248"/>
      <c r="AC137" s="248"/>
      <c r="AD137" s="248"/>
      <c r="AE137" s="112">
        <f>AD65+AD63+AD36+AD13</f>
        <v>9713.9</v>
      </c>
      <c r="AF137" s="100"/>
    </row>
    <row r="138" spans="1:32">
      <c r="E138" t="s">
        <v>439</v>
      </c>
      <c r="AA138" s="73"/>
      <c r="AB138" s="73"/>
      <c r="AC138" s="73"/>
      <c r="AD138" s="73"/>
      <c r="AE138" s="71"/>
      <c r="AF138" s="100"/>
    </row>
    <row r="139" spans="1:32">
      <c r="E139" t="s">
        <v>440</v>
      </c>
      <c r="AA139" s="248" t="s">
        <v>346</v>
      </c>
      <c r="AB139" s="248"/>
      <c r="AC139" s="248"/>
      <c r="AD139" s="248"/>
      <c r="AE139" s="112">
        <v>106179.1</v>
      </c>
      <c r="AF139" s="100"/>
    </row>
    <row r="140" spans="1:32">
      <c r="E140" t="s">
        <v>445</v>
      </c>
      <c r="AA140" s="78"/>
      <c r="AB140" s="78"/>
      <c r="AC140" s="78"/>
      <c r="AD140" s="78"/>
      <c r="AE140" s="112"/>
      <c r="AF140" s="100"/>
    </row>
    <row r="141" spans="1:32">
      <c r="E141" t="s">
        <v>441</v>
      </c>
      <c r="AA141" s="73"/>
      <c r="AB141" s="73"/>
      <c r="AC141" s="73"/>
      <c r="AD141" s="73"/>
      <c r="AE141" s="71"/>
      <c r="AF141" s="100"/>
    </row>
    <row r="142" spans="1:32">
      <c r="E142" t="s">
        <v>442</v>
      </c>
      <c r="AA142" s="248" t="s">
        <v>340</v>
      </c>
      <c r="AB142" s="248"/>
      <c r="AC142" s="248"/>
      <c r="AD142" s="248"/>
      <c r="AE142" s="112">
        <v>14213.88</v>
      </c>
      <c r="AF142" s="100"/>
    </row>
    <row r="143" spans="1:32">
      <c r="E143" t="s">
        <v>443</v>
      </c>
      <c r="AA143" s="78"/>
      <c r="AB143" s="78"/>
      <c r="AC143" s="78"/>
      <c r="AD143" s="78"/>
      <c r="AE143" s="112"/>
      <c r="AF143" s="100"/>
    </row>
    <row r="144" spans="1:32">
      <c r="E144" t="s">
        <v>444</v>
      </c>
      <c r="AA144" s="249" t="s">
        <v>354</v>
      </c>
      <c r="AB144" s="250"/>
      <c r="AC144" s="250"/>
      <c r="AD144" s="251"/>
      <c r="AE144" s="112">
        <v>31095.68</v>
      </c>
      <c r="AF144" s="100"/>
    </row>
    <row r="145" spans="5:32">
      <c r="E145" t="s">
        <v>446</v>
      </c>
      <c r="AA145" s="73"/>
      <c r="AB145" s="73"/>
      <c r="AC145" s="73"/>
      <c r="AD145" s="73"/>
      <c r="AE145" s="71"/>
      <c r="AF145" s="100"/>
    </row>
    <row r="146" spans="5:32">
      <c r="AA146" s="248" t="s">
        <v>341</v>
      </c>
      <c r="AB146" s="248"/>
      <c r="AC146" s="248"/>
      <c r="AD146" s="248"/>
      <c r="AE146" s="112">
        <v>8500</v>
      </c>
      <c r="AF146" s="100"/>
    </row>
    <row r="147" spans="5:32">
      <c r="AA147" s="73"/>
      <c r="AB147" s="73"/>
      <c r="AC147" s="73"/>
      <c r="AD147" s="73"/>
      <c r="AE147" s="73"/>
    </row>
    <row r="148" spans="5:32">
      <c r="AA148" s="248" t="s">
        <v>347</v>
      </c>
      <c r="AB148" s="248"/>
      <c r="AC148" s="248"/>
      <c r="AD148" s="248"/>
      <c r="AE148" s="112">
        <v>615000</v>
      </c>
      <c r="AF148" s="100"/>
    </row>
    <row r="149" spans="5:32">
      <c r="AA149" s="70"/>
      <c r="AB149" s="70"/>
      <c r="AC149" s="70"/>
      <c r="AD149" s="70"/>
      <c r="AE149" s="71"/>
      <c r="AF149" s="100"/>
    </row>
    <row r="150" spans="5:32">
      <c r="AA150" s="249" t="s">
        <v>349</v>
      </c>
      <c r="AB150" s="250"/>
      <c r="AC150" s="250"/>
      <c r="AD150" s="251"/>
      <c r="AE150" s="112">
        <v>321948.38</v>
      </c>
      <c r="AF150" s="100"/>
    </row>
    <row r="151" spans="5:32">
      <c r="AA151" s="70"/>
      <c r="AB151" s="70"/>
      <c r="AC151" s="70"/>
      <c r="AD151" s="70"/>
      <c r="AE151" s="71"/>
      <c r="AF151" s="100"/>
    </row>
    <row r="152" spans="5:32">
      <c r="AA152" s="249" t="s">
        <v>352</v>
      </c>
      <c r="AB152" s="250"/>
      <c r="AC152" s="250"/>
      <c r="AD152" s="251"/>
      <c r="AE152" s="112">
        <v>791512.63</v>
      </c>
      <c r="AF152" s="100"/>
    </row>
    <row r="153" spans="5:32">
      <c r="AA153" s="70"/>
      <c r="AB153" s="70"/>
      <c r="AC153" s="70"/>
      <c r="AD153" s="70"/>
      <c r="AE153" s="71"/>
      <c r="AF153" s="100"/>
    </row>
    <row r="154" spans="5:32">
      <c r="AA154" s="248" t="s">
        <v>356</v>
      </c>
      <c r="AB154" s="248"/>
      <c r="AC154" s="248"/>
      <c r="AD154" s="248"/>
      <c r="AE154" s="112">
        <v>8701.2000000000007</v>
      </c>
      <c r="AF154" s="100"/>
    </row>
    <row r="155" spans="5:32">
      <c r="AA155" s="95"/>
      <c r="AB155" s="90"/>
      <c r="AC155" s="90"/>
      <c r="AD155" s="150"/>
      <c r="AE155" s="71"/>
      <c r="AF155" s="100"/>
    </row>
    <row r="156" spans="5:32">
      <c r="AA156" s="249" t="s">
        <v>353</v>
      </c>
      <c r="AB156" s="250"/>
      <c r="AC156" s="250"/>
      <c r="AD156" s="251"/>
      <c r="AE156" s="112">
        <v>305000</v>
      </c>
      <c r="AF156" s="100"/>
    </row>
    <row r="157" spans="5:32">
      <c r="AA157" s="73"/>
      <c r="AB157" s="73"/>
      <c r="AC157" s="73"/>
      <c r="AD157" s="73"/>
      <c r="AE157" s="73"/>
    </row>
    <row r="158" spans="5:32">
      <c r="AA158" s="73"/>
      <c r="AB158" s="73"/>
      <c r="AC158" s="73"/>
      <c r="AD158" s="73"/>
      <c r="AE158" s="112">
        <f>SUM(AE135:AE156)</f>
        <v>3701661.6885999995</v>
      </c>
      <c r="AF158" s="120"/>
    </row>
    <row r="159" spans="5:32">
      <c r="AE159" s="100"/>
      <c r="AF159" s="100"/>
    </row>
    <row r="160" spans="5:32">
      <c r="AA160" s="248" t="s">
        <v>348</v>
      </c>
      <c r="AB160" s="248"/>
      <c r="AC160" s="248"/>
      <c r="AD160" s="248"/>
      <c r="AE160" s="112">
        <v>5091527</v>
      </c>
      <c r="AF160" s="120"/>
    </row>
    <row r="161" spans="27:32">
      <c r="AA161" s="113"/>
      <c r="AB161" s="113"/>
      <c r="AC161" s="113"/>
      <c r="AD161" s="113"/>
      <c r="AE161" s="112"/>
      <c r="AF161" s="120"/>
    </row>
    <row r="162" spans="27:32">
      <c r="AA162" s="248"/>
      <c r="AB162" s="248"/>
      <c r="AC162" s="248"/>
      <c r="AD162" s="248"/>
      <c r="AE162" s="112">
        <f>AE158-AE160</f>
        <v>-1389865.3114000005</v>
      </c>
      <c r="AF162" s="120"/>
    </row>
    <row r="163" spans="27:32">
      <c r="AE163" s="100"/>
      <c r="AF163" s="100"/>
    </row>
    <row r="164" spans="27:32">
      <c r="AE164" s="100"/>
      <c r="AF164" s="100"/>
    </row>
  </sheetData>
  <mergeCells count="22">
    <mergeCell ref="AA139:AD139"/>
    <mergeCell ref="F2:Q3"/>
    <mergeCell ref="A7:AE7"/>
    <mergeCell ref="A16:AE16"/>
    <mergeCell ref="A24:AE24"/>
    <mergeCell ref="A32:AE32"/>
    <mergeCell ref="A40:AE40"/>
    <mergeCell ref="A50:AE50"/>
    <mergeCell ref="A57:AE57"/>
    <mergeCell ref="A124:AE124"/>
    <mergeCell ref="AA135:AD135"/>
    <mergeCell ref="AA137:AD137"/>
    <mergeCell ref="AA154:AD154"/>
    <mergeCell ref="AA156:AD156"/>
    <mergeCell ref="AA160:AD160"/>
    <mergeCell ref="AA162:AD162"/>
    <mergeCell ref="AA142:AD142"/>
    <mergeCell ref="AA144:AD144"/>
    <mergeCell ref="AA146:AD146"/>
    <mergeCell ref="AA148:AD148"/>
    <mergeCell ref="AA150:AD150"/>
    <mergeCell ref="AA152:AD15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16B6A-3E2E-43BF-94C9-FE9A01779378}">
  <dimension ref="A1:I42"/>
  <sheetViews>
    <sheetView workbookViewId="0">
      <selection activeCell="I7" sqref="I7"/>
    </sheetView>
  </sheetViews>
  <sheetFormatPr baseColWidth="10" defaultRowHeight="15"/>
  <cols>
    <col min="1" max="1" width="12.28515625" bestFit="1" customWidth="1"/>
    <col min="2" max="2" width="9.7109375" bestFit="1" customWidth="1"/>
    <col min="3" max="3" width="39.7109375" bestFit="1" customWidth="1"/>
    <col min="8" max="9" width="11.42578125" style="202"/>
  </cols>
  <sheetData>
    <row r="1" spans="1:9">
      <c r="I1" s="203" t="s">
        <v>425</v>
      </c>
    </row>
    <row r="2" spans="1:9">
      <c r="A2" s="7" t="s">
        <v>322</v>
      </c>
      <c r="B2" s="7" t="s">
        <v>130</v>
      </c>
      <c r="C2" s="137" t="s">
        <v>170</v>
      </c>
      <c r="D2" s="6" t="s">
        <v>162</v>
      </c>
      <c r="E2" s="7" t="s">
        <v>127</v>
      </c>
      <c r="F2" s="7">
        <v>4</v>
      </c>
      <c r="G2" s="15">
        <v>45992</v>
      </c>
      <c r="H2" s="204">
        <v>1</v>
      </c>
      <c r="I2" s="205">
        <f>F2+H2</f>
        <v>5</v>
      </c>
    </row>
    <row r="3" spans="1:9">
      <c r="A3" s="72" t="s">
        <v>263</v>
      </c>
      <c r="B3" s="72" t="s">
        <v>187</v>
      </c>
      <c r="C3" s="139" t="s">
        <v>88</v>
      </c>
      <c r="D3" s="73" t="s">
        <v>118</v>
      </c>
      <c r="E3" s="70" t="s">
        <v>7</v>
      </c>
      <c r="F3" s="70">
        <v>5</v>
      </c>
      <c r="G3" s="74">
        <v>45959</v>
      </c>
      <c r="H3" s="204">
        <v>1</v>
      </c>
      <c r="I3" s="205">
        <f t="shared" ref="I3:I13" si="0">F3+H3</f>
        <v>6</v>
      </c>
    </row>
    <row r="4" spans="1:9">
      <c r="A4" s="70" t="s">
        <v>247</v>
      </c>
      <c r="B4" s="70" t="s">
        <v>160</v>
      </c>
      <c r="C4" s="85" t="s">
        <v>203</v>
      </c>
      <c r="D4" s="73" t="s">
        <v>177</v>
      </c>
      <c r="E4" s="70" t="s">
        <v>183</v>
      </c>
      <c r="F4" s="70">
        <v>8</v>
      </c>
      <c r="G4" s="79">
        <v>45919</v>
      </c>
      <c r="H4" s="204">
        <v>1</v>
      </c>
      <c r="I4" s="205">
        <f t="shared" si="0"/>
        <v>9</v>
      </c>
    </row>
    <row r="5" spans="1:9">
      <c r="A5" s="72" t="s">
        <v>277</v>
      </c>
      <c r="B5" s="72" t="s">
        <v>185</v>
      </c>
      <c r="C5" s="135" t="s">
        <v>69</v>
      </c>
      <c r="D5" s="73" t="s">
        <v>119</v>
      </c>
      <c r="E5" s="70" t="s">
        <v>127</v>
      </c>
      <c r="F5" s="70">
        <v>7</v>
      </c>
      <c r="G5" s="74">
        <v>45736</v>
      </c>
      <c r="H5" s="204">
        <v>1</v>
      </c>
      <c r="I5" s="205">
        <f t="shared" si="0"/>
        <v>8</v>
      </c>
    </row>
    <row r="6" spans="1:9">
      <c r="A6" s="82" t="s">
        <v>246</v>
      </c>
      <c r="B6" s="70" t="s">
        <v>6</v>
      </c>
      <c r="C6" s="85" t="s">
        <v>197</v>
      </c>
      <c r="D6" s="73" t="s">
        <v>113</v>
      </c>
      <c r="E6" s="70" t="s">
        <v>0</v>
      </c>
      <c r="F6" s="70">
        <v>12</v>
      </c>
      <c r="G6" s="79">
        <v>45839</v>
      </c>
      <c r="H6" s="204">
        <v>1</v>
      </c>
      <c r="I6" s="205">
        <f t="shared" si="0"/>
        <v>13</v>
      </c>
    </row>
    <row r="7" spans="1:9">
      <c r="A7" s="70" t="s">
        <v>321</v>
      </c>
      <c r="B7" s="70" t="s">
        <v>131</v>
      </c>
      <c r="C7" s="143" t="s">
        <v>171</v>
      </c>
      <c r="D7" s="73" t="s">
        <v>163</v>
      </c>
      <c r="E7" s="70" t="s">
        <v>126</v>
      </c>
      <c r="F7" s="70">
        <f>4+5</f>
        <v>9</v>
      </c>
      <c r="G7" s="79">
        <v>45697</v>
      </c>
      <c r="H7" s="204">
        <v>1</v>
      </c>
      <c r="I7" s="205">
        <f t="shared" si="0"/>
        <v>10</v>
      </c>
    </row>
    <row r="8" spans="1:9">
      <c r="A8" s="72" t="s">
        <v>250</v>
      </c>
      <c r="B8" s="72" t="s">
        <v>209</v>
      </c>
      <c r="C8" s="135" t="s">
        <v>54</v>
      </c>
      <c r="D8" s="73" t="s">
        <v>112</v>
      </c>
      <c r="E8" s="70" t="s">
        <v>0</v>
      </c>
      <c r="F8" s="70">
        <v>14</v>
      </c>
      <c r="G8" s="74">
        <v>45887</v>
      </c>
      <c r="H8" s="204">
        <v>1</v>
      </c>
      <c r="I8" s="205">
        <f t="shared" si="0"/>
        <v>15</v>
      </c>
    </row>
    <row r="9" spans="1:9">
      <c r="A9" s="72" t="s">
        <v>272</v>
      </c>
      <c r="B9" s="72" t="s">
        <v>44</v>
      </c>
      <c r="C9" s="135" t="s">
        <v>65</v>
      </c>
      <c r="D9" s="73" t="s">
        <v>112</v>
      </c>
      <c r="E9" s="70" t="s">
        <v>0</v>
      </c>
      <c r="F9" s="70">
        <v>10</v>
      </c>
      <c r="G9" s="74">
        <v>45992</v>
      </c>
      <c r="H9" s="204">
        <v>1</v>
      </c>
      <c r="I9" s="205">
        <f t="shared" si="0"/>
        <v>11</v>
      </c>
    </row>
    <row r="10" spans="1:9">
      <c r="A10" s="72" t="s">
        <v>280</v>
      </c>
      <c r="B10" s="72" t="s">
        <v>41</v>
      </c>
      <c r="C10" s="135" t="s">
        <v>73</v>
      </c>
      <c r="D10" s="73" t="s">
        <v>112</v>
      </c>
      <c r="E10" s="70" t="s">
        <v>0</v>
      </c>
      <c r="F10" s="70">
        <v>7</v>
      </c>
      <c r="G10" s="74">
        <v>45877</v>
      </c>
      <c r="H10" s="204">
        <v>1</v>
      </c>
      <c r="I10" s="205">
        <f t="shared" si="0"/>
        <v>8</v>
      </c>
    </row>
    <row r="11" spans="1:9">
      <c r="A11" s="72" t="s">
        <v>276</v>
      </c>
      <c r="B11" s="72" t="s">
        <v>38</v>
      </c>
      <c r="C11" s="139" t="s">
        <v>68</v>
      </c>
      <c r="D11" s="73" t="s">
        <v>112</v>
      </c>
      <c r="E11" s="70" t="s">
        <v>0</v>
      </c>
      <c r="F11" s="70">
        <v>7</v>
      </c>
      <c r="G11" s="74">
        <v>45780</v>
      </c>
      <c r="H11" s="204">
        <v>1</v>
      </c>
      <c r="I11" s="205">
        <f t="shared" si="0"/>
        <v>8</v>
      </c>
    </row>
    <row r="12" spans="1:9">
      <c r="A12" s="72" t="s">
        <v>275</v>
      </c>
      <c r="B12" s="72" t="s">
        <v>40</v>
      </c>
      <c r="C12" s="139" t="s">
        <v>204</v>
      </c>
      <c r="D12" s="73" t="s">
        <v>112</v>
      </c>
      <c r="E12" s="70" t="s">
        <v>0</v>
      </c>
      <c r="F12" s="70">
        <v>7</v>
      </c>
      <c r="G12" s="74">
        <v>45779</v>
      </c>
      <c r="H12" s="204">
        <v>1</v>
      </c>
      <c r="I12" s="205">
        <f t="shared" si="0"/>
        <v>8</v>
      </c>
    </row>
    <row r="13" spans="1:9">
      <c r="A13" s="72" t="s">
        <v>264</v>
      </c>
      <c r="B13" s="72" t="s">
        <v>13</v>
      </c>
      <c r="C13" s="135" t="s">
        <v>60</v>
      </c>
      <c r="D13" s="73" t="s">
        <v>116</v>
      </c>
      <c r="E13" s="70" t="s">
        <v>0</v>
      </c>
      <c r="F13" s="70">
        <v>8</v>
      </c>
      <c r="G13" s="79">
        <v>45748</v>
      </c>
      <c r="H13" s="204">
        <v>1</v>
      </c>
      <c r="I13" s="205">
        <f t="shared" si="0"/>
        <v>9</v>
      </c>
    </row>
    <row r="14" spans="1:9">
      <c r="H14" s="204"/>
      <c r="I14" s="205">
        <f t="shared" ref="I14:I19" si="1">F17+G17</f>
        <v>0</v>
      </c>
    </row>
    <row r="15" spans="1:9">
      <c r="H15" s="204"/>
      <c r="I15" s="205">
        <f t="shared" si="1"/>
        <v>0</v>
      </c>
    </row>
    <row r="16" spans="1:9">
      <c r="H16" s="204"/>
      <c r="I16" s="205">
        <f t="shared" si="1"/>
        <v>0</v>
      </c>
    </row>
    <row r="17" spans="8:9">
      <c r="H17" s="204"/>
      <c r="I17" s="205">
        <f t="shared" si="1"/>
        <v>0</v>
      </c>
    </row>
    <row r="18" spans="8:9">
      <c r="H18" s="204"/>
      <c r="I18" s="205">
        <f t="shared" si="1"/>
        <v>0</v>
      </c>
    </row>
    <row r="19" spans="8:9">
      <c r="H19" s="204"/>
      <c r="I19" s="205">
        <f t="shared" si="1"/>
        <v>0</v>
      </c>
    </row>
    <row r="20" spans="8:9">
      <c r="H20" s="204"/>
      <c r="I20" s="205"/>
    </row>
    <row r="21" spans="8:9">
      <c r="H21" s="204"/>
      <c r="I21" s="205"/>
    </row>
    <row r="22" spans="8:9">
      <c r="H22" s="204"/>
      <c r="I22" s="205"/>
    </row>
    <row r="23" spans="8:9">
      <c r="H23" s="204"/>
      <c r="I23" s="205"/>
    </row>
    <row r="24" spans="8:9">
      <c r="H24" s="204"/>
      <c r="I24" s="205"/>
    </row>
    <row r="25" spans="8:9">
      <c r="H25" s="204"/>
      <c r="I25" s="205"/>
    </row>
    <row r="26" spans="8:9">
      <c r="H26" s="204"/>
      <c r="I26" s="205"/>
    </row>
    <row r="27" spans="8:9">
      <c r="H27" s="204"/>
      <c r="I27" s="205"/>
    </row>
    <row r="28" spans="8:9">
      <c r="H28" s="204"/>
      <c r="I28" s="205"/>
    </row>
    <row r="29" spans="8:9">
      <c r="H29" s="204"/>
      <c r="I29" s="205"/>
    </row>
    <row r="30" spans="8:9">
      <c r="H30" s="204"/>
      <c r="I30" s="205"/>
    </row>
    <row r="31" spans="8:9">
      <c r="H31" s="204"/>
      <c r="I31" s="204"/>
    </row>
    <row r="32" spans="8:9">
      <c r="H32" s="204"/>
      <c r="I32" s="204"/>
    </row>
    <row r="33" spans="8:9">
      <c r="H33" s="204"/>
      <c r="I33" s="204"/>
    </row>
    <row r="34" spans="8:9">
      <c r="H34" s="204"/>
      <c r="I34" s="204"/>
    </row>
    <row r="35" spans="8:9">
      <c r="H35" s="204"/>
      <c r="I35" s="204"/>
    </row>
    <row r="36" spans="8:9">
      <c r="H36" s="204"/>
      <c r="I36" s="204"/>
    </row>
    <row r="37" spans="8:9">
      <c r="H37" s="204"/>
      <c r="I37" s="204"/>
    </row>
    <row r="38" spans="8:9">
      <c r="H38" s="204"/>
      <c r="I38" s="204"/>
    </row>
    <row r="39" spans="8:9">
      <c r="H39" s="204"/>
      <c r="I39" s="204"/>
    </row>
    <row r="40" spans="8:9">
      <c r="H40" s="204"/>
      <c r="I40" s="204"/>
    </row>
    <row r="41" spans="8:9">
      <c r="H41" s="204"/>
      <c r="I41" s="204"/>
    </row>
    <row r="42" spans="8:9">
      <c r="H42" s="204"/>
      <c r="I42" s="20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13CC0-2258-4618-A3A7-B7F14EF9E4ED}">
  <dimension ref="A1:R28"/>
  <sheetViews>
    <sheetView workbookViewId="0">
      <selection activeCell="G18" sqref="G18"/>
    </sheetView>
  </sheetViews>
  <sheetFormatPr baseColWidth="10" defaultRowHeight="15"/>
  <cols>
    <col min="6" max="6" width="10" bestFit="1" customWidth="1"/>
    <col min="7" max="7" width="11" bestFit="1" customWidth="1"/>
  </cols>
  <sheetData>
    <row r="1" spans="1:18">
      <c r="A1" s="151"/>
      <c r="B1" s="237" t="s">
        <v>11</v>
      </c>
      <c r="C1" s="237"/>
      <c r="D1" s="237" t="s">
        <v>3</v>
      </c>
      <c r="E1" s="237"/>
      <c r="F1" s="237" t="s">
        <v>7</v>
      </c>
      <c r="G1" s="237"/>
      <c r="H1" s="237" t="s">
        <v>0</v>
      </c>
      <c r="I1" s="237"/>
      <c r="J1" s="237" t="s">
        <v>213</v>
      </c>
      <c r="K1" s="238"/>
      <c r="L1" s="152"/>
      <c r="M1" s="152"/>
      <c r="N1" s="235" t="s">
        <v>368</v>
      </c>
      <c r="O1" s="236"/>
      <c r="P1" s="236"/>
      <c r="Q1" s="236"/>
      <c r="R1" s="153" t="s">
        <v>369</v>
      </c>
    </row>
    <row r="2" spans="1:18">
      <c r="A2" s="154"/>
      <c r="B2" s="155" t="s">
        <v>370</v>
      </c>
      <c r="C2" s="155" t="s">
        <v>371</v>
      </c>
      <c r="D2" s="155" t="s">
        <v>370</v>
      </c>
      <c r="E2" s="155" t="s">
        <v>371</v>
      </c>
      <c r="F2" s="155" t="s">
        <v>370</v>
      </c>
      <c r="G2" s="155" t="s">
        <v>371</v>
      </c>
      <c r="H2" s="155" t="s">
        <v>370</v>
      </c>
      <c r="I2" s="155" t="s">
        <v>371</v>
      </c>
      <c r="J2" s="155" t="s">
        <v>370</v>
      </c>
      <c r="K2" s="156" t="s">
        <v>371</v>
      </c>
      <c r="L2" s="152"/>
      <c r="M2" s="152"/>
      <c r="N2" s="246" t="s">
        <v>372</v>
      </c>
      <c r="O2" s="247"/>
      <c r="P2" s="247"/>
      <c r="Q2" s="247"/>
      <c r="R2" s="157">
        <v>0.31979999999999997</v>
      </c>
    </row>
    <row r="3" spans="1:18">
      <c r="A3" s="158" t="s">
        <v>373</v>
      </c>
      <c r="B3" s="215">
        <v>1326.9</v>
      </c>
      <c r="C3" s="216">
        <v>51.07</v>
      </c>
      <c r="D3" s="215">
        <v>1147.3499999999999</v>
      </c>
      <c r="E3" s="216">
        <v>41.65</v>
      </c>
      <c r="F3" s="216">
        <v>861.46</v>
      </c>
      <c r="G3" s="216">
        <v>31.53</v>
      </c>
      <c r="H3" s="216">
        <v>716.98</v>
      </c>
      <c r="I3" s="216">
        <v>21.46</v>
      </c>
      <c r="J3" s="216">
        <v>656.23</v>
      </c>
      <c r="K3" s="216">
        <v>16.16</v>
      </c>
      <c r="N3" s="246" t="s">
        <v>374</v>
      </c>
      <c r="O3" s="247"/>
      <c r="P3" s="247"/>
      <c r="Q3" s="247"/>
      <c r="R3" s="157">
        <v>0.3528</v>
      </c>
    </row>
    <row r="4" spans="1:18">
      <c r="A4" s="158" t="s">
        <v>375</v>
      </c>
      <c r="B4" s="217">
        <v>818.82</v>
      </c>
      <c r="C4" s="217">
        <v>31.53</v>
      </c>
      <c r="D4" s="217">
        <v>836.78</v>
      </c>
      <c r="E4" s="217">
        <v>30.37</v>
      </c>
      <c r="F4" s="217">
        <v>744.56</v>
      </c>
      <c r="G4" s="217">
        <v>27.21</v>
      </c>
      <c r="H4" s="217">
        <v>710.44</v>
      </c>
      <c r="I4" s="217">
        <v>21.24</v>
      </c>
      <c r="J4" s="217">
        <v>656.23</v>
      </c>
      <c r="K4" s="217">
        <v>16.16</v>
      </c>
      <c r="N4" s="246" t="s">
        <v>376</v>
      </c>
      <c r="O4" s="247"/>
      <c r="P4" s="247"/>
      <c r="Q4" s="247"/>
      <c r="R4" s="157">
        <v>0.37180000000000002</v>
      </c>
    </row>
    <row r="5" spans="1:18" ht="15.75" thickBot="1">
      <c r="A5" s="161" t="s">
        <v>377</v>
      </c>
      <c r="B5" s="218">
        <v>205.29</v>
      </c>
      <c r="C5" s="219"/>
      <c r="D5" s="218">
        <v>167.76</v>
      </c>
      <c r="E5" s="219"/>
      <c r="F5" s="218">
        <v>138.32</v>
      </c>
      <c r="G5" s="219"/>
      <c r="H5" s="218">
        <v>114.02</v>
      </c>
      <c r="I5" s="219"/>
      <c r="J5" s="218">
        <v>100.71</v>
      </c>
      <c r="K5" s="219"/>
      <c r="N5" s="246" t="s">
        <v>378</v>
      </c>
      <c r="O5" s="247"/>
      <c r="P5" s="247"/>
      <c r="Q5" s="247"/>
      <c r="R5" s="157">
        <v>0.371</v>
      </c>
    </row>
    <row r="6" spans="1:18" ht="15.75" thickBot="1">
      <c r="N6" s="244" t="s">
        <v>379</v>
      </c>
      <c r="O6" s="245"/>
      <c r="P6" s="245"/>
      <c r="Q6" s="245"/>
      <c r="R6" s="164">
        <v>0.34079999999999999</v>
      </c>
    </row>
    <row r="7" spans="1:18" ht="27.75" customHeight="1" thickTop="1" thickBot="1">
      <c r="A7" s="239" t="s">
        <v>380</v>
      </c>
      <c r="B7" s="240"/>
      <c r="C7" s="241" t="s">
        <v>381</v>
      </c>
      <c r="D7" s="242"/>
      <c r="E7" s="165"/>
      <c r="F7" s="243" t="s">
        <v>382</v>
      </c>
      <c r="G7" s="243"/>
      <c r="H7" s="166">
        <v>24.19</v>
      </c>
      <c r="I7" s="243" t="s">
        <v>383</v>
      </c>
      <c r="J7" s="243"/>
      <c r="K7" s="165"/>
      <c r="L7" s="165"/>
      <c r="M7" s="165"/>
      <c r="N7" s="244" t="s">
        <v>384</v>
      </c>
      <c r="O7" s="245"/>
      <c r="P7" s="245"/>
      <c r="Q7" s="245"/>
      <c r="R7" s="164">
        <v>0.37180000000000002</v>
      </c>
    </row>
    <row r="8" spans="1:18" ht="15.75" thickBot="1">
      <c r="A8" s="167" t="s">
        <v>385</v>
      </c>
      <c r="B8" s="168" t="s">
        <v>386</v>
      </c>
      <c r="C8" s="169" t="s">
        <v>387</v>
      </c>
      <c r="D8" s="170" t="s">
        <v>388</v>
      </c>
      <c r="F8" s="168" t="s">
        <v>389</v>
      </c>
      <c r="G8" s="168" t="s">
        <v>386</v>
      </c>
      <c r="N8" s="244" t="s">
        <v>390</v>
      </c>
      <c r="O8" s="245"/>
      <c r="P8" s="245"/>
      <c r="Q8" s="245"/>
      <c r="R8" s="164">
        <v>0.37180000000000002</v>
      </c>
    </row>
    <row r="9" spans="1:18" ht="15.75" thickBot="1">
      <c r="A9" s="171">
        <v>30</v>
      </c>
      <c r="B9" s="220">
        <v>1159.06</v>
      </c>
      <c r="C9" s="172">
        <v>40.75</v>
      </c>
      <c r="D9" s="221">
        <v>46.37</v>
      </c>
      <c r="F9">
        <v>77</v>
      </c>
      <c r="G9" s="174">
        <f>F9*$H$7</f>
        <v>1862.63</v>
      </c>
      <c r="H9" s="174"/>
      <c r="N9" s="244" t="s">
        <v>391</v>
      </c>
      <c r="O9" s="245"/>
      <c r="P9" s="245"/>
      <c r="Q9" s="245"/>
      <c r="R9" s="164">
        <v>0.26280000000000003</v>
      </c>
    </row>
    <row r="10" spans="1:18">
      <c r="A10" s="171">
        <v>29</v>
      </c>
      <c r="B10" s="220">
        <v>1039.6099999999999</v>
      </c>
      <c r="C10" s="172">
        <v>39.51</v>
      </c>
      <c r="D10" s="221">
        <v>44.95</v>
      </c>
      <c r="F10">
        <v>75</v>
      </c>
      <c r="G10" s="174">
        <f t="shared" ref="G10:G20" si="0">F10*$H$7</f>
        <v>1814.25</v>
      </c>
    </row>
    <row r="11" spans="1:18">
      <c r="A11" s="171">
        <v>28</v>
      </c>
      <c r="B11" s="221">
        <v>995.93</v>
      </c>
      <c r="C11" s="172">
        <v>38.28</v>
      </c>
      <c r="D11" s="221">
        <v>43.55</v>
      </c>
      <c r="F11">
        <v>63</v>
      </c>
      <c r="G11" s="174">
        <f>F11*$H$7</f>
        <v>1523.97</v>
      </c>
    </row>
    <row r="12" spans="1:18">
      <c r="A12" s="171">
        <v>27</v>
      </c>
      <c r="B12" s="221">
        <v>952.17</v>
      </c>
      <c r="C12" s="172">
        <v>37.03</v>
      </c>
      <c r="D12" s="221">
        <v>42.14</v>
      </c>
      <c r="F12">
        <v>57</v>
      </c>
      <c r="G12" s="174">
        <f t="shared" si="0"/>
        <v>1378.8300000000002</v>
      </c>
    </row>
    <row r="13" spans="1:18">
      <c r="A13" s="171">
        <v>26</v>
      </c>
      <c r="B13" s="221">
        <v>835.38</v>
      </c>
      <c r="C13" s="172">
        <v>35.799999999999997</v>
      </c>
      <c r="D13" s="221">
        <v>40.72</v>
      </c>
      <c r="F13">
        <v>54</v>
      </c>
      <c r="G13" s="174">
        <f t="shared" si="0"/>
        <v>1306.26</v>
      </c>
    </row>
    <row r="14" spans="1:18">
      <c r="A14" s="171">
        <v>25</v>
      </c>
      <c r="B14" s="221">
        <v>741.15</v>
      </c>
      <c r="C14" s="172">
        <v>34.590000000000003</v>
      </c>
      <c r="D14" s="221">
        <v>39.32</v>
      </c>
      <c r="F14">
        <v>52</v>
      </c>
      <c r="G14" s="174">
        <f t="shared" si="0"/>
        <v>1257.8800000000001</v>
      </c>
    </row>
    <row r="15" spans="1:18">
      <c r="A15" s="171">
        <v>24</v>
      </c>
      <c r="B15" s="221">
        <v>697.43</v>
      </c>
      <c r="C15" s="172">
        <v>33.369999999999997</v>
      </c>
      <c r="D15" s="221">
        <v>37.950000000000003</v>
      </c>
      <c r="F15">
        <v>51</v>
      </c>
      <c r="G15" s="174">
        <f t="shared" si="0"/>
        <v>1233.69</v>
      </c>
    </row>
    <row r="16" spans="1:18">
      <c r="A16" s="171">
        <v>23</v>
      </c>
      <c r="B16" s="221">
        <v>653.76</v>
      </c>
      <c r="C16" s="172">
        <v>32.11</v>
      </c>
      <c r="D16" s="221">
        <v>36.520000000000003</v>
      </c>
      <c r="F16">
        <v>45</v>
      </c>
      <c r="G16" s="174">
        <f t="shared" si="0"/>
        <v>1088.55</v>
      </c>
    </row>
    <row r="17" spans="1:7">
      <c r="A17" s="171">
        <v>22</v>
      </c>
      <c r="B17" s="221">
        <v>610</v>
      </c>
      <c r="C17" s="172">
        <v>30.88</v>
      </c>
      <c r="D17" s="221">
        <v>35.11</v>
      </c>
      <c r="F17">
        <v>38</v>
      </c>
      <c r="G17" s="174">
        <f t="shared" si="0"/>
        <v>919.22</v>
      </c>
    </row>
    <row r="18" spans="1:7">
      <c r="A18" s="171">
        <v>21</v>
      </c>
      <c r="B18" s="221">
        <v>566.36</v>
      </c>
      <c r="C18" s="172">
        <v>29.67</v>
      </c>
      <c r="D18" s="221">
        <v>33.729999999999997</v>
      </c>
      <c r="F18">
        <v>37</v>
      </c>
      <c r="G18" s="174">
        <f t="shared" si="0"/>
        <v>895.03000000000009</v>
      </c>
    </row>
    <row r="19" spans="1:7">
      <c r="A19" s="171">
        <v>20</v>
      </c>
      <c r="B19" s="221">
        <v>526.09</v>
      </c>
      <c r="C19" s="172">
        <v>28.45</v>
      </c>
      <c r="D19" s="221">
        <v>32.32</v>
      </c>
      <c r="F19">
        <v>36</v>
      </c>
      <c r="G19" s="174">
        <f t="shared" si="0"/>
        <v>870.84</v>
      </c>
    </row>
    <row r="20" spans="1:7">
      <c r="A20" s="171">
        <v>19</v>
      </c>
      <c r="B20" s="221">
        <v>499.24</v>
      </c>
      <c r="C20" s="172">
        <v>27.2</v>
      </c>
      <c r="D20" s="221">
        <v>30.91</v>
      </c>
      <c r="F20">
        <v>34</v>
      </c>
      <c r="G20" s="174">
        <f t="shared" si="0"/>
        <v>822.46</v>
      </c>
    </row>
    <row r="21" spans="1:7">
      <c r="A21" s="171">
        <v>18</v>
      </c>
      <c r="B21" s="221">
        <v>472.37</v>
      </c>
      <c r="C21" s="172">
        <v>25.97</v>
      </c>
      <c r="D21" s="221">
        <v>29.53</v>
      </c>
    </row>
    <row r="22" spans="1:7">
      <c r="A22" s="171">
        <v>17</v>
      </c>
      <c r="B22" s="221">
        <v>445.5</v>
      </c>
      <c r="C22" s="172">
        <v>24.74</v>
      </c>
      <c r="D22" s="221">
        <v>28.1</v>
      </c>
    </row>
    <row r="23" spans="1:7">
      <c r="A23" s="171">
        <v>16</v>
      </c>
      <c r="B23" s="221">
        <v>418.69</v>
      </c>
      <c r="C23" s="172">
        <v>23.47</v>
      </c>
      <c r="D23" s="221">
        <v>26.72</v>
      </c>
    </row>
    <row r="24" spans="1:7">
      <c r="A24" s="171">
        <v>15</v>
      </c>
      <c r="B24" s="221">
        <v>391.78</v>
      </c>
      <c r="C24" s="172">
        <v>22.25</v>
      </c>
      <c r="D24" s="221">
        <v>25.31</v>
      </c>
    </row>
    <row r="25" spans="1:7">
      <c r="A25" s="171">
        <v>14</v>
      </c>
      <c r="B25" s="221">
        <v>364.97</v>
      </c>
      <c r="C25" s="172">
        <v>21.02</v>
      </c>
      <c r="D25" s="221">
        <v>23.91</v>
      </c>
    </row>
    <row r="26" spans="1:7">
      <c r="A26" s="171">
        <v>13</v>
      </c>
      <c r="B26" s="221">
        <v>338.07</v>
      </c>
      <c r="C26" s="172">
        <v>19.8</v>
      </c>
      <c r="D26" s="221">
        <v>22.49</v>
      </c>
    </row>
    <row r="27" spans="1:7" ht="15.75" thickBot="1">
      <c r="A27" s="175">
        <v>12</v>
      </c>
      <c r="B27" s="221">
        <v>311.19</v>
      </c>
      <c r="C27" s="177">
        <v>18.53</v>
      </c>
      <c r="D27" s="221">
        <v>21.11</v>
      </c>
    </row>
    <row r="28" spans="1:7" ht="15.75" thickTop="1"/>
  </sheetData>
  <mergeCells count="18">
    <mergeCell ref="N8:Q8"/>
    <mergeCell ref="N9:Q9"/>
    <mergeCell ref="N2:Q2"/>
    <mergeCell ref="N3:Q3"/>
    <mergeCell ref="N4:Q4"/>
    <mergeCell ref="N5:Q5"/>
    <mergeCell ref="N6:Q6"/>
    <mergeCell ref="A7:B7"/>
    <mergeCell ref="C7:D7"/>
    <mergeCell ref="F7:G7"/>
    <mergeCell ref="I7:J7"/>
    <mergeCell ref="N7:Q7"/>
    <mergeCell ref="N1:Q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6"/>
  <sheetViews>
    <sheetView tabSelected="1" topLeftCell="B1" zoomScale="85" zoomScaleNormal="85" workbookViewId="0">
      <selection activeCell="B4" sqref="B4:H81"/>
    </sheetView>
  </sheetViews>
  <sheetFormatPr baseColWidth="10" defaultRowHeight="15"/>
  <cols>
    <col min="1" max="1" width="0" hidden="1" customWidth="1"/>
    <col min="3" max="3" width="62.140625" customWidth="1"/>
    <col min="4" max="6" width="11.42578125" customWidth="1"/>
    <col min="7" max="7" width="19.28515625" customWidth="1"/>
    <col min="8" max="8" width="19.5703125" style="209" customWidth="1"/>
    <col min="9" max="9" width="11.7109375" bestFit="1" customWidth="1"/>
  </cols>
  <sheetData>
    <row r="1" spans="1:8" s="210" customFormat="1"/>
    <row r="2" spans="1:8" s="210" customFormat="1" ht="15.75" customHeight="1">
      <c r="D2" s="228"/>
      <c r="E2" s="228"/>
      <c r="F2" s="228"/>
    </row>
    <row r="3" spans="1:8" s="210" customFormat="1" ht="15.75" customHeight="1">
      <c r="D3" s="228"/>
      <c r="E3" s="228"/>
      <c r="F3" s="228"/>
    </row>
    <row r="4" spans="1:8" s="210" customFormat="1"/>
    <row r="5" spans="1:8" ht="26.25">
      <c r="A5" s="225" t="s">
        <v>52</v>
      </c>
      <c r="B5" s="225" t="s">
        <v>51</v>
      </c>
      <c r="C5" s="225" t="s">
        <v>361</v>
      </c>
      <c r="D5" s="226" t="s">
        <v>124</v>
      </c>
      <c r="E5" s="225" t="s">
        <v>167</v>
      </c>
      <c r="F5" s="225" t="s">
        <v>168</v>
      </c>
      <c r="G5" s="119" t="s">
        <v>450</v>
      </c>
      <c r="H5" s="225" t="s">
        <v>102</v>
      </c>
    </row>
    <row r="6" spans="1:8" s="6" customFormat="1">
      <c r="A6" s="16">
        <v>230</v>
      </c>
      <c r="B6" s="7"/>
      <c r="C6" s="6" t="s">
        <v>128</v>
      </c>
      <c r="G6" s="149">
        <v>65096.92</v>
      </c>
      <c r="H6" s="8">
        <v>12</v>
      </c>
    </row>
    <row r="7" spans="1:8" s="6" customFormat="1">
      <c r="A7" s="7">
        <v>262</v>
      </c>
      <c r="B7" s="7" t="s">
        <v>130</v>
      </c>
      <c r="C7" s="6" t="s">
        <v>162</v>
      </c>
      <c r="D7" s="7" t="s">
        <v>127</v>
      </c>
      <c r="E7" s="7">
        <v>26</v>
      </c>
      <c r="F7" s="7">
        <v>77</v>
      </c>
      <c r="G7" s="149">
        <v>55227.02</v>
      </c>
      <c r="H7" s="8">
        <v>12</v>
      </c>
    </row>
    <row r="8" spans="1:8" s="6" customFormat="1">
      <c r="A8" s="16">
        <v>207</v>
      </c>
      <c r="B8" s="16" t="s">
        <v>187</v>
      </c>
      <c r="C8" s="6" t="s">
        <v>118</v>
      </c>
      <c r="D8" s="7" t="s">
        <v>7</v>
      </c>
      <c r="E8" s="16">
        <v>18</v>
      </c>
      <c r="F8" s="16">
        <v>37</v>
      </c>
      <c r="G8" s="149">
        <v>32630.080000000002</v>
      </c>
      <c r="H8" s="8">
        <v>12</v>
      </c>
    </row>
    <row r="9" spans="1:8" s="6" customFormat="1">
      <c r="A9" s="16">
        <v>232</v>
      </c>
      <c r="B9" s="16" t="s">
        <v>191</v>
      </c>
      <c r="C9" s="6" t="s">
        <v>122</v>
      </c>
      <c r="D9" s="7" t="s">
        <v>7</v>
      </c>
      <c r="E9" s="16">
        <v>16</v>
      </c>
      <c r="F9" s="16">
        <v>36</v>
      </c>
      <c r="G9" s="149">
        <v>31539.9</v>
      </c>
      <c r="H9" s="8">
        <v>12</v>
      </c>
    </row>
    <row r="10" spans="1:8" s="6" customFormat="1">
      <c r="A10" s="16">
        <v>32</v>
      </c>
      <c r="B10" s="16" t="s">
        <v>186</v>
      </c>
      <c r="C10" s="6" t="s">
        <v>428</v>
      </c>
      <c r="D10" s="7" t="s">
        <v>3</v>
      </c>
      <c r="E10" s="16">
        <v>22</v>
      </c>
      <c r="F10" s="16">
        <v>54</v>
      </c>
      <c r="G10" s="149">
        <v>44282.52</v>
      </c>
      <c r="H10" s="8">
        <v>12</v>
      </c>
    </row>
    <row r="11" spans="1:8" s="6" customFormat="1">
      <c r="A11" s="16"/>
      <c r="B11" s="16" t="s">
        <v>447</v>
      </c>
      <c r="C11" s="6" t="s">
        <v>449</v>
      </c>
      <c r="D11" s="7" t="s">
        <v>126</v>
      </c>
      <c r="E11" s="16">
        <v>22</v>
      </c>
      <c r="F11" s="16">
        <v>52</v>
      </c>
      <c r="G11" s="149">
        <v>39636.800000000003</v>
      </c>
      <c r="H11" s="8">
        <v>12</v>
      </c>
    </row>
    <row r="12" spans="1:8" s="6" customFormat="1">
      <c r="A12" s="16"/>
      <c r="B12" s="7" t="s">
        <v>434</v>
      </c>
      <c r="C12" s="6" t="s">
        <v>177</v>
      </c>
      <c r="D12" s="7" t="s">
        <v>183</v>
      </c>
      <c r="E12" s="7">
        <v>18</v>
      </c>
      <c r="F12" s="7">
        <v>37</v>
      </c>
      <c r="G12" s="149">
        <v>30536.48</v>
      </c>
      <c r="H12" s="8">
        <v>12</v>
      </c>
    </row>
    <row r="13" spans="1:8" s="6" customFormat="1">
      <c r="A13" s="16"/>
      <c r="B13" s="16" t="s">
        <v>448</v>
      </c>
      <c r="C13" s="6" t="s">
        <v>119</v>
      </c>
      <c r="D13" s="7" t="s">
        <v>127</v>
      </c>
      <c r="E13" s="16">
        <v>24</v>
      </c>
      <c r="F13" s="16">
        <v>63</v>
      </c>
      <c r="G13" s="149">
        <v>51123.519999999997</v>
      </c>
      <c r="H13" s="8">
        <v>12</v>
      </c>
    </row>
    <row r="14" spans="1:8" s="211" customFormat="1">
      <c r="A14" s="222"/>
      <c r="B14" s="214" t="s">
        <v>435</v>
      </c>
      <c r="C14" s="211" t="s">
        <v>123</v>
      </c>
      <c r="D14" s="222" t="s">
        <v>127</v>
      </c>
      <c r="E14" s="214">
        <v>24</v>
      </c>
      <c r="F14" s="214">
        <v>63</v>
      </c>
      <c r="G14" s="223">
        <v>48554.48</v>
      </c>
      <c r="H14" s="212">
        <v>12</v>
      </c>
    </row>
    <row r="15" spans="1:8" s="211" customFormat="1">
      <c r="A15" s="222"/>
      <c r="B15" s="214" t="s">
        <v>436</v>
      </c>
      <c r="C15" s="211" t="s">
        <v>117</v>
      </c>
      <c r="D15" s="222" t="s">
        <v>11</v>
      </c>
      <c r="E15" s="214">
        <v>22</v>
      </c>
      <c r="F15" s="214">
        <v>57</v>
      </c>
      <c r="G15" s="223">
        <v>47867.54</v>
      </c>
      <c r="H15" s="212">
        <v>12</v>
      </c>
    </row>
    <row r="16" spans="1:8" s="211" customFormat="1">
      <c r="A16" s="222"/>
      <c r="B16" s="222" t="s">
        <v>437</v>
      </c>
      <c r="C16" s="211" t="s">
        <v>179</v>
      </c>
      <c r="D16" s="222" t="s">
        <v>183</v>
      </c>
      <c r="E16" s="222">
        <v>18</v>
      </c>
      <c r="F16" s="222">
        <v>37</v>
      </c>
      <c r="G16" s="223">
        <v>30536.48</v>
      </c>
      <c r="H16" s="212">
        <v>12</v>
      </c>
    </row>
    <row r="17" spans="1:8" s="6" customFormat="1">
      <c r="A17" s="16">
        <v>108</v>
      </c>
      <c r="B17" s="16" t="s">
        <v>28</v>
      </c>
      <c r="C17" s="6" t="s">
        <v>242</v>
      </c>
      <c r="D17" s="7" t="s">
        <v>127</v>
      </c>
      <c r="E17" s="16">
        <v>26</v>
      </c>
      <c r="F17" s="16">
        <v>75</v>
      </c>
      <c r="G17" s="149">
        <v>54549.7</v>
      </c>
      <c r="H17" s="224">
        <v>12</v>
      </c>
    </row>
    <row r="18" spans="1:8" s="6" customFormat="1">
      <c r="A18" s="7">
        <v>56</v>
      </c>
      <c r="B18" s="7" t="s">
        <v>5</v>
      </c>
      <c r="C18" s="6" t="s">
        <v>113</v>
      </c>
      <c r="D18" s="7" t="s">
        <v>0</v>
      </c>
      <c r="E18" s="7">
        <v>16</v>
      </c>
      <c r="F18" s="7">
        <v>37</v>
      </c>
      <c r="G18" s="149">
        <v>29784.959999999999</v>
      </c>
      <c r="H18" s="8">
        <v>12</v>
      </c>
    </row>
    <row r="19" spans="1:8" s="6" customFormat="1">
      <c r="A19" s="7">
        <v>37</v>
      </c>
      <c r="B19" s="7" t="s">
        <v>6</v>
      </c>
      <c r="C19" s="6" t="s">
        <v>113</v>
      </c>
      <c r="D19" s="7" t="s">
        <v>0</v>
      </c>
      <c r="E19" s="7">
        <v>16</v>
      </c>
      <c r="F19" s="7">
        <v>37</v>
      </c>
      <c r="G19" s="149">
        <v>29784.959999999999</v>
      </c>
      <c r="H19" s="8">
        <v>12</v>
      </c>
    </row>
    <row r="20" spans="1:8" s="6" customFormat="1">
      <c r="A20" s="7">
        <v>261</v>
      </c>
      <c r="B20" s="7" t="s">
        <v>131</v>
      </c>
      <c r="C20" s="6" t="s">
        <v>163</v>
      </c>
      <c r="D20" s="7" t="s">
        <v>126</v>
      </c>
      <c r="E20" s="7">
        <v>22</v>
      </c>
      <c r="F20" s="7">
        <v>52</v>
      </c>
      <c r="G20" s="149">
        <v>39636.800000000003</v>
      </c>
      <c r="H20" s="8">
        <v>12</v>
      </c>
    </row>
    <row r="21" spans="1:8" s="6" customFormat="1">
      <c r="A21" s="7">
        <v>231</v>
      </c>
      <c r="B21" s="7" t="s">
        <v>132</v>
      </c>
      <c r="C21" s="6" t="s">
        <v>122</v>
      </c>
      <c r="D21" s="7" t="s">
        <v>7</v>
      </c>
      <c r="E21" s="7">
        <v>16</v>
      </c>
      <c r="F21" s="7">
        <v>36</v>
      </c>
      <c r="G21" s="149">
        <v>31539.9</v>
      </c>
      <c r="H21" s="6">
        <v>12</v>
      </c>
    </row>
    <row r="22" spans="1:8" s="6" customFormat="1">
      <c r="A22" s="16">
        <v>95</v>
      </c>
      <c r="B22" s="16" t="s">
        <v>27</v>
      </c>
      <c r="C22" s="6" t="s">
        <v>121</v>
      </c>
      <c r="D22" s="7" t="s">
        <v>127</v>
      </c>
      <c r="E22" s="16">
        <v>26</v>
      </c>
      <c r="F22" s="16">
        <v>75</v>
      </c>
      <c r="G22" s="149">
        <v>57118.74</v>
      </c>
      <c r="H22" s="8">
        <v>12</v>
      </c>
    </row>
    <row r="23" spans="1:8" s="6" customFormat="1">
      <c r="A23" s="16">
        <v>49</v>
      </c>
      <c r="B23" s="16" t="s">
        <v>12</v>
      </c>
      <c r="C23" s="6" t="s">
        <v>115</v>
      </c>
      <c r="D23" s="7" t="s">
        <v>11</v>
      </c>
      <c r="E23" s="16">
        <v>24</v>
      </c>
      <c r="F23" s="16">
        <v>63</v>
      </c>
      <c r="G23" s="149">
        <v>51123.519999999997</v>
      </c>
      <c r="H23" s="8">
        <v>12</v>
      </c>
    </row>
    <row r="24" spans="1:8" s="6" customFormat="1">
      <c r="A24" s="16">
        <v>93</v>
      </c>
      <c r="B24" s="16" t="s">
        <v>4</v>
      </c>
      <c r="C24" s="6" t="s">
        <v>120</v>
      </c>
      <c r="D24" s="7" t="s">
        <v>3</v>
      </c>
      <c r="E24" s="16">
        <v>22</v>
      </c>
      <c r="F24" s="16">
        <v>54</v>
      </c>
      <c r="G24" s="149">
        <v>44282.52</v>
      </c>
      <c r="H24" s="8">
        <v>12</v>
      </c>
    </row>
    <row r="25" spans="1:8" s="6" customFormat="1">
      <c r="A25" s="16">
        <v>67</v>
      </c>
      <c r="B25" s="16" t="s">
        <v>26</v>
      </c>
      <c r="C25" s="6" t="s">
        <v>120</v>
      </c>
      <c r="D25" s="7" t="s">
        <v>3</v>
      </c>
      <c r="E25" s="16">
        <v>22</v>
      </c>
      <c r="F25" s="16">
        <v>54</v>
      </c>
      <c r="G25" s="149">
        <v>44282.52</v>
      </c>
      <c r="H25" s="8">
        <v>12</v>
      </c>
    </row>
    <row r="26" spans="1:8" s="6" customFormat="1">
      <c r="A26" s="16">
        <v>59</v>
      </c>
      <c r="B26" s="16" t="s">
        <v>22</v>
      </c>
      <c r="C26" s="6" t="s">
        <v>118</v>
      </c>
      <c r="D26" s="7" t="s">
        <v>7</v>
      </c>
      <c r="E26" s="16">
        <v>18</v>
      </c>
      <c r="F26" s="16">
        <v>37</v>
      </c>
      <c r="G26" s="149">
        <v>32630.080000000002</v>
      </c>
      <c r="H26" s="8">
        <v>12</v>
      </c>
    </row>
    <row r="27" spans="1:8" s="6" customFormat="1">
      <c r="A27" s="214">
        <v>66</v>
      </c>
      <c r="B27" s="214" t="s">
        <v>16</v>
      </c>
      <c r="C27" s="211" t="s">
        <v>111</v>
      </c>
      <c r="D27" s="7" t="s">
        <v>0</v>
      </c>
      <c r="E27" s="16">
        <v>16</v>
      </c>
      <c r="F27" s="16">
        <v>38</v>
      </c>
      <c r="G27" s="149">
        <v>30123.62</v>
      </c>
      <c r="H27" s="8">
        <v>12</v>
      </c>
    </row>
    <row r="28" spans="1:8" s="6" customFormat="1">
      <c r="A28" s="16">
        <v>129</v>
      </c>
      <c r="B28" s="16" t="s">
        <v>135</v>
      </c>
      <c r="C28" s="6" t="s">
        <v>111</v>
      </c>
      <c r="D28" s="7" t="s">
        <v>0</v>
      </c>
      <c r="E28" s="16">
        <v>16</v>
      </c>
      <c r="F28" s="16">
        <v>38</v>
      </c>
      <c r="G28" s="149">
        <v>30123.62</v>
      </c>
      <c r="H28" s="8">
        <v>12</v>
      </c>
    </row>
    <row r="29" spans="1:8" s="6" customFormat="1">
      <c r="A29" s="16">
        <v>26</v>
      </c>
      <c r="B29" s="16" t="s">
        <v>209</v>
      </c>
      <c r="C29" s="6" t="s">
        <v>112</v>
      </c>
      <c r="D29" s="7" t="s">
        <v>0</v>
      </c>
      <c r="E29" s="16">
        <v>15</v>
      </c>
      <c r="F29" s="16">
        <v>37</v>
      </c>
      <c r="G29" s="149">
        <v>29408.22</v>
      </c>
      <c r="H29" s="8">
        <v>12</v>
      </c>
    </row>
    <row r="30" spans="1:8" s="6" customFormat="1">
      <c r="A30" s="16">
        <v>136</v>
      </c>
      <c r="B30" s="16" t="s">
        <v>136</v>
      </c>
      <c r="C30" s="6" t="s">
        <v>112</v>
      </c>
      <c r="D30" s="7" t="s">
        <v>0</v>
      </c>
      <c r="E30" s="16">
        <v>15</v>
      </c>
      <c r="F30" s="16">
        <v>37</v>
      </c>
      <c r="G30" s="149">
        <v>29408.22</v>
      </c>
      <c r="H30" s="8">
        <v>12</v>
      </c>
    </row>
    <row r="31" spans="1:8" s="6" customFormat="1">
      <c r="A31" s="16">
        <v>151</v>
      </c>
      <c r="B31" s="16" t="s">
        <v>29</v>
      </c>
      <c r="C31" s="6" t="s">
        <v>112</v>
      </c>
      <c r="D31" s="7" t="s">
        <v>0</v>
      </c>
      <c r="E31" s="16">
        <v>15</v>
      </c>
      <c r="F31" s="16">
        <v>37</v>
      </c>
      <c r="G31" s="149">
        <v>29408.22</v>
      </c>
      <c r="H31" s="8">
        <v>12</v>
      </c>
    </row>
    <row r="32" spans="1:8" s="6" customFormat="1">
      <c r="A32" s="16">
        <v>46</v>
      </c>
      <c r="B32" s="16" t="s">
        <v>1</v>
      </c>
      <c r="C32" s="6" t="s">
        <v>112</v>
      </c>
      <c r="D32" s="7" t="s">
        <v>0</v>
      </c>
      <c r="E32" s="16">
        <v>15</v>
      </c>
      <c r="F32" s="16">
        <v>37</v>
      </c>
      <c r="G32" s="149">
        <v>29408.22</v>
      </c>
      <c r="H32" s="8">
        <v>12</v>
      </c>
    </row>
    <row r="33" spans="1:8" s="6" customFormat="1">
      <c r="A33" s="16">
        <v>154</v>
      </c>
      <c r="B33" s="16" t="s">
        <v>2</v>
      </c>
      <c r="C33" s="6" t="s">
        <v>112</v>
      </c>
      <c r="D33" s="7" t="s">
        <v>0</v>
      </c>
      <c r="E33" s="16">
        <v>15</v>
      </c>
      <c r="F33" s="16">
        <v>37</v>
      </c>
      <c r="G33" s="149">
        <v>29408.22</v>
      </c>
      <c r="H33" s="8">
        <v>12</v>
      </c>
    </row>
    <row r="34" spans="1:8" s="6" customFormat="1">
      <c r="A34" s="16">
        <v>155</v>
      </c>
      <c r="B34" s="16" t="s">
        <v>35</v>
      </c>
      <c r="C34" s="6" t="s">
        <v>112</v>
      </c>
      <c r="D34" s="7" t="s">
        <v>0</v>
      </c>
      <c r="E34" s="16">
        <v>15</v>
      </c>
      <c r="F34" s="16">
        <v>37</v>
      </c>
      <c r="G34" s="149">
        <v>29408.22</v>
      </c>
      <c r="H34" s="8">
        <v>12</v>
      </c>
    </row>
    <row r="35" spans="1:8" s="6" customFormat="1">
      <c r="A35" s="16">
        <v>126</v>
      </c>
      <c r="B35" s="16" t="s">
        <v>43</v>
      </c>
      <c r="C35" s="6" t="s">
        <v>112</v>
      </c>
      <c r="D35" s="7" t="s">
        <v>0</v>
      </c>
      <c r="E35" s="16">
        <v>15</v>
      </c>
      <c r="F35" s="16">
        <v>37</v>
      </c>
      <c r="G35" s="149">
        <v>29408.22</v>
      </c>
      <c r="H35" s="8">
        <v>12</v>
      </c>
    </row>
    <row r="36" spans="1:8" s="6" customFormat="1">
      <c r="A36" s="16">
        <v>156</v>
      </c>
      <c r="B36" s="16" t="s">
        <v>138</v>
      </c>
      <c r="C36" s="6" t="s">
        <v>112</v>
      </c>
      <c r="D36" s="7" t="s">
        <v>0</v>
      </c>
      <c r="E36" s="16">
        <v>15</v>
      </c>
      <c r="F36" s="16">
        <v>37</v>
      </c>
      <c r="G36" s="149">
        <v>29408.22</v>
      </c>
      <c r="H36" s="8">
        <v>12</v>
      </c>
    </row>
    <row r="37" spans="1:8" s="6" customFormat="1">
      <c r="A37" s="16">
        <v>145</v>
      </c>
      <c r="B37" s="16" t="s">
        <v>9</v>
      </c>
      <c r="C37" s="6" t="s">
        <v>112</v>
      </c>
      <c r="D37" s="7" t="s">
        <v>0</v>
      </c>
      <c r="E37" s="16">
        <v>15</v>
      </c>
      <c r="F37" s="16">
        <v>37</v>
      </c>
      <c r="G37" s="149">
        <v>29408.22</v>
      </c>
      <c r="H37" s="8">
        <v>12</v>
      </c>
    </row>
    <row r="38" spans="1:8" s="6" customFormat="1">
      <c r="A38" s="16">
        <v>62</v>
      </c>
      <c r="B38" s="16" t="s">
        <v>44</v>
      </c>
      <c r="C38" s="6" t="s">
        <v>112</v>
      </c>
      <c r="D38" s="7" t="s">
        <v>0</v>
      </c>
      <c r="E38" s="16">
        <v>15</v>
      </c>
      <c r="F38" s="16">
        <v>37</v>
      </c>
      <c r="G38" s="149">
        <v>29408.22</v>
      </c>
      <c r="H38" s="8">
        <v>12</v>
      </c>
    </row>
    <row r="39" spans="1:8" s="6" customFormat="1">
      <c r="A39" s="16">
        <v>150</v>
      </c>
      <c r="B39" s="16" t="s">
        <v>45</v>
      </c>
      <c r="C39" s="6" t="s">
        <v>112</v>
      </c>
      <c r="D39" s="7" t="s">
        <v>0</v>
      </c>
      <c r="E39" s="16">
        <v>15</v>
      </c>
      <c r="F39" s="16">
        <v>37</v>
      </c>
      <c r="G39" s="149">
        <v>29408.22</v>
      </c>
      <c r="H39" s="8">
        <v>12</v>
      </c>
    </row>
    <row r="40" spans="1:8" s="6" customFormat="1">
      <c r="A40" s="16">
        <v>143</v>
      </c>
      <c r="B40" s="16" t="s">
        <v>33</v>
      </c>
      <c r="C40" s="6" t="s">
        <v>112</v>
      </c>
      <c r="D40" s="7" t="s">
        <v>0</v>
      </c>
      <c r="E40" s="16">
        <v>15</v>
      </c>
      <c r="F40" s="16">
        <v>37</v>
      </c>
      <c r="G40" s="149">
        <v>29408.22</v>
      </c>
      <c r="H40" s="8">
        <v>12</v>
      </c>
    </row>
    <row r="41" spans="1:8" s="6" customFormat="1">
      <c r="A41" s="16">
        <v>119</v>
      </c>
      <c r="B41" s="16" t="s">
        <v>41</v>
      </c>
      <c r="C41" s="6" t="s">
        <v>112</v>
      </c>
      <c r="D41" s="7" t="s">
        <v>0</v>
      </c>
      <c r="E41" s="16">
        <v>15</v>
      </c>
      <c r="F41" s="16">
        <v>37</v>
      </c>
      <c r="G41" s="149">
        <v>29408.22</v>
      </c>
      <c r="H41" s="8">
        <v>12</v>
      </c>
    </row>
    <row r="42" spans="1:8" s="6" customFormat="1">
      <c r="A42" s="16">
        <v>47</v>
      </c>
      <c r="B42" s="16" t="s">
        <v>46</v>
      </c>
      <c r="C42" s="6" t="s">
        <v>112</v>
      </c>
      <c r="D42" s="7" t="s">
        <v>0</v>
      </c>
      <c r="E42" s="16">
        <v>15</v>
      </c>
      <c r="F42" s="16">
        <v>37</v>
      </c>
      <c r="G42" s="149">
        <v>29408.22</v>
      </c>
      <c r="H42" s="8">
        <v>12</v>
      </c>
    </row>
    <row r="43" spans="1:8" s="6" customFormat="1">
      <c r="A43" s="16">
        <v>147</v>
      </c>
      <c r="B43" s="16" t="s">
        <v>39</v>
      </c>
      <c r="C43" s="6" t="s">
        <v>112</v>
      </c>
      <c r="D43" s="7" t="s">
        <v>0</v>
      </c>
      <c r="E43" s="16">
        <v>15</v>
      </c>
      <c r="F43" s="16">
        <v>37</v>
      </c>
      <c r="G43" s="149">
        <v>29408.22</v>
      </c>
      <c r="H43" s="8">
        <v>12</v>
      </c>
    </row>
    <row r="44" spans="1:8" s="6" customFormat="1">
      <c r="A44" s="16">
        <v>142</v>
      </c>
      <c r="B44" s="16" t="s">
        <v>18</v>
      </c>
      <c r="C44" s="6" t="s">
        <v>112</v>
      </c>
      <c r="D44" s="7" t="s">
        <v>0</v>
      </c>
      <c r="E44" s="16">
        <v>15</v>
      </c>
      <c r="F44" s="16">
        <v>37</v>
      </c>
      <c r="G44" s="149">
        <v>29408.22</v>
      </c>
      <c r="H44" s="8">
        <v>12</v>
      </c>
    </row>
    <row r="45" spans="1:8" s="6" customFormat="1">
      <c r="A45" s="16">
        <v>141</v>
      </c>
      <c r="B45" s="16" t="s">
        <v>42</v>
      </c>
      <c r="C45" s="6" t="s">
        <v>112</v>
      </c>
      <c r="D45" s="7" t="s">
        <v>0</v>
      </c>
      <c r="E45" s="16">
        <v>15</v>
      </c>
      <c r="F45" s="16">
        <v>37</v>
      </c>
      <c r="G45" s="149">
        <v>29408.22</v>
      </c>
      <c r="H45" s="8">
        <v>12</v>
      </c>
    </row>
    <row r="46" spans="1:8" s="6" customFormat="1">
      <c r="A46" s="16">
        <v>70</v>
      </c>
      <c r="B46" s="16" t="s">
        <v>38</v>
      </c>
      <c r="C46" s="6" t="s">
        <v>112</v>
      </c>
      <c r="D46" s="7" t="s">
        <v>0</v>
      </c>
      <c r="E46" s="16">
        <v>15</v>
      </c>
      <c r="F46" s="16">
        <v>37</v>
      </c>
      <c r="G46" s="149">
        <v>29408.22</v>
      </c>
      <c r="H46" s="8">
        <v>12</v>
      </c>
    </row>
    <row r="47" spans="1:8" s="6" customFormat="1">
      <c r="A47" s="16">
        <v>117</v>
      </c>
      <c r="B47" s="16" t="s">
        <v>31</v>
      </c>
      <c r="C47" s="6" t="s">
        <v>112</v>
      </c>
      <c r="D47" s="7" t="s">
        <v>0</v>
      </c>
      <c r="E47" s="16">
        <v>15</v>
      </c>
      <c r="F47" s="16">
        <v>37</v>
      </c>
      <c r="G47" s="149">
        <v>29408.22</v>
      </c>
      <c r="H47" s="130">
        <v>12</v>
      </c>
    </row>
    <row r="48" spans="1:8" s="6" customFormat="1">
      <c r="A48" s="16">
        <v>69</v>
      </c>
      <c r="B48" s="16" t="s">
        <v>40</v>
      </c>
      <c r="C48" s="6" t="s">
        <v>112</v>
      </c>
      <c r="D48" s="7" t="s">
        <v>0</v>
      </c>
      <c r="E48" s="16">
        <v>15</v>
      </c>
      <c r="F48" s="16">
        <v>37</v>
      </c>
      <c r="G48" s="149">
        <v>29408.22</v>
      </c>
      <c r="H48" s="8">
        <v>12</v>
      </c>
    </row>
    <row r="49" spans="1:9" s="6" customFormat="1">
      <c r="A49" s="16">
        <v>174</v>
      </c>
      <c r="B49" s="16" t="s">
        <v>24</v>
      </c>
      <c r="C49" s="6" t="s">
        <v>112</v>
      </c>
      <c r="D49" s="7" t="s">
        <v>0</v>
      </c>
      <c r="E49" s="16">
        <v>15</v>
      </c>
      <c r="F49" s="16">
        <v>37</v>
      </c>
      <c r="G49" s="149">
        <v>29408.22</v>
      </c>
      <c r="H49" s="8">
        <v>12</v>
      </c>
    </row>
    <row r="50" spans="1:9" s="6" customFormat="1">
      <c r="A50" s="16">
        <v>175</v>
      </c>
      <c r="B50" s="16" t="s">
        <v>30</v>
      </c>
      <c r="C50" s="6" t="s">
        <v>112</v>
      </c>
      <c r="D50" s="7" t="s">
        <v>0</v>
      </c>
      <c r="E50" s="16">
        <v>15</v>
      </c>
      <c r="F50" s="16">
        <v>37</v>
      </c>
      <c r="G50" s="149">
        <v>29408.22</v>
      </c>
      <c r="H50" s="8">
        <v>12</v>
      </c>
    </row>
    <row r="51" spans="1:9" s="6" customFormat="1">
      <c r="A51" s="16">
        <v>200</v>
      </c>
      <c r="B51" s="16" t="s">
        <v>21</v>
      </c>
      <c r="C51" s="6" t="s">
        <v>112</v>
      </c>
      <c r="D51" s="7" t="s">
        <v>0</v>
      </c>
      <c r="E51" s="16">
        <v>15</v>
      </c>
      <c r="F51" s="16">
        <v>37</v>
      </c>
      <c r="G51" s="149">
        <v>29408.22</v>
      </c>
      <c r="H51" s="8">
        <v>12</v>
      </c>
    </row>
    <row r="52" spans="1:9" s="6" customFormat="1">
      <c r="A52" s="16">
        <v>63</v>
      </c>
      <c r="B52" s="16" t="s">
        <v>23</v>
      </c>
      <c r="C52" s="6" t="s">
        <v>112</v>
      </c>
      <c r="D52" s="7" t="s">
        <v>0</v>
      </c>
      <c r="E52" s="16">
        <v>15</v>
      </c>
      <c r="F52" s="16">
        <v>37</v>
      </c>
      <c r="G52" s="149">
        <v>29408.22</v>
      </c>
      <c r="H52" s="8">
        <v>12</v>
      </c>
    </row>
    <row r="53" spans="1:9" s="6" customFormat="1">
      <c r="A53" s="16"/>
      <c r="B53" s="16" t="s">
        <v>34</v>
      </c>
      <c r="C53" s="6" t="s">
        <v>164</v>
      </c>
      <c r="D53" s="7" t="s">
        <v>213</v>
      </c>
      <c r="E53" s="16">
        <v>14</v>
      </c>
      <c r="F53" s="16">
        <v>34</v>
      </c>
      <c r="G53" s="149">
        <v>27019.759999999998</v>
      </c>
      <c r="H53" s="8">
        <v>12</v>
      </c>
      <c r="I53" s="5"/>
    </row>
    <row r="54" spans="1:9" s="6" customFormat="1">
      <c r="A54" s="16"/>
      <c r="B54" s="16" t="s">
        <v>217</v>
      </c>
      <c r="C54" s="6" t="s">
        <v>164</v>
      </c>
      <c r="D54" s="7" t="s">
        <v>213</v>
      </c>
      <c r="E54" s="16">
        <v>14</v>
      </c>
      <c r="F54" s="16">
        <v>34</v>
      </c>
      <c r="G54" s="149">
        <v>27019.759999999998</v>
      </c>
      <c r="H54" s="8">
        <v>12</v>
      </c>
      <c r="I54" s="5"/>
    </row>
    <row r="55" spans="1:9" s="6" customFormat="1">
      <c r="A55" s="16">
        <v>237</v>
      </c>
      <c r="B55" s="16" t="s">
        <v>139</v>
      </c>
      <c r="C55" s="6" t="s">
        <v>164</v>
      </c>
      <c r="D55" s="7" t="s">
        <v>213</v>
      </c>
      <c r="E55" s="16">
        <v>14</v>
      </c>
      <c r="F55" s="16">
        <v>34</v>
      </c>
      <c r="G55" s="149">
        <v>27019.759999999998</v>
      </c>
      <c r="H55" s="8">
        <v>12</v>
      </c>
      <c r="I55" s="5"/>
    </row>
    <row r="56" spans="1:9" s="6" customFormat="1">
      <c r="A56" s="16">
        <v>238</v>
      </c>
      <c r="B56" s="16" t="s">
        <v>47</v>
      </c>
      <c r="C56" s="6" t="s">
        <v>164</v>
      </c>
      <c r="D56" s="7" t="s">
        <v>213</v>
      </c>
      <c r="E56" s="16">
        <v>14</v>
      </c>
      <c r="F56" s="16">
        <v>34</v>
      </c>
      <c r="G56" s="149">
        <v>27019.759999999998</v>
      </c>
      <c r="H56" s="8">
        <v>12</v>
      </c>
    </row>
    <row r="57" spans="1:9" s="6" customFormat="1">
      <c r="A57" s="16">
        <v>239</v>
      </c>
      <c r="B57" s="16" t="s">
        <v>48</v>
      </c>
      <c r="C57" s="6" t="s">
        <v>164</v>
      </c>
      <c r="D57" s="7" t="s">
        <v>213</v>
      </c>
      <c r="E57" s="16">
        <v>14</v>
      </c>
      <c r="F57" s="16">
        <v>34</v>
      </c>
      <c r="G57" s="149">
        <v>27019.759999999998</v>
      </c>
      <c r="H57" s="8">
        <v>12</v>
      </c>
    </row>
    <row r="58" spans="1:9" s="6" customFormat="1">
      <c r="A58" s="16">
        <v>240</v>
      </c>
      <c r="B58" s="16" t="s">
        <v>49</v>
      </c>
      <c r="C58" s="6" t="s">
        <v>164</v>
      </c>
      <c r="D58" s="7" t="s">
        <v>213</v>
      </c>
      <c r="E58" s="16">
        <v>14</v>
      </c>
      <c r="F58" s="16">
        <v>34</v>
      </c>
      <c r="G58" s="149">
        <v>27019.759999999998</v>
      </c>
      <c r="H58" s="8">
        <v>12</v>
      </c>
    </row>
    <row r="59" spans="1:9" s="6" customFormat="1">
      <c r="A59" s="16">
        <v>241</v>
      </c>
      <c r="B59" s="16" t="s">
        <v>19</v>
      </c>
      <c r="C59" s="6" t="s">
        <v>164</v>
      </c>
      <c r="D59" s="7" t="s">
        <v>213</v>
      </c>
      <c r="E59" s="16">
        <v>14</v>
      </c>
      <c r="F59" s="16">
        <v>34</v>
      </c>
      <c r="G59" s="149">
        <v>27019.759999999998</v>
      </c>
      <c r="H59" s="8">
        <v>12</v>
      </c>
    </row>
    <row r="60" spans="1:9" s="6" customFormat="1">
      <c r="A60" s="16">
        <v>242</v>
      </c>
      <c r="B60" s="16" t="s">
        <v>140</v>
      </c>
      <c r="C60" s="6" t="s">
        <v>164</v>
      </c>
      <c r="D60" s="7" t="s">
        <v>213</v>
      </c>
      <c r="E60" s="16">
        <v>14</v>
      </c>
      <c r="F60" s="16">
        <v>34</v>
      </c>
      <c r="G60" s="149">
        <v>27019.759999999998</v>
      </c>
      <c r="H60" s="8">
        <v>12</v>
      </c>
    </row>
    <row r="61" spans="1:9" s="6" customFormat="1">
      <c r="A61" s="16">
        <v>243</v>
      </c>
      <c r="B61" s="16" t="s">
        <v>141</v>
      </c>
      <c r="C61" s="6" t="s">
        <v>164</v>
      </c>
      <c r="D61" s="7" t="s">
        <v>213</v>
      </c>
      <c r="E61" s="16">
        <v>14</v>
      </c>
      <c r="F61" s="16">
        <v>34</v>
      </c>
      <c r="G61" s="149">
        <v>27019.759999999998</v>
      </c>
      <c r="H61" s="8">
        <v>12</v>
      </c>
    </row>
    <row r="62" spans="1:9" s="6" customFormat="1">
      <c r="A62" s="16">
        <v>244</v>
      </c>
      <c r="B62" s="16" t="s">
        <v>142</v>
      </c>
      <c r="C62" s="6" t="s">
        <v>164</v>
      </c>
      <c r="D62" s="7" t="s">
        <v>213</v>
      </c>
      <c r="E62" s="16">
        <v>14</v>
      </c>
      <c r="F62" s="16">
        <v>34</v>
      </c>
      <c r="G62" s="149">
        <v>27019.759999999998</v>
      </c>
      <c r="H62" s="8">
        <v>12</v>
      </c>
    </row>
    <row r="63" spans="1:9" s="6" customFormat="1">
      <c r="A63" s="16">
        <v>245</v>
      </c>
      <c r="B63" s="16" t="s">
        <v>143</v>
      </c>
      <c r="C63" s="6" t="s">
        <v>164</v>
      </c>
      <c r="D63" s="7" t="s">
        <v>213</v>
      </c>
      <c r="E63" s="16">
        <v>14</v>
      </c>
      <c r="F63" s="16">
        <v>34</v>
      </c>
      <c r="G63" s="149">
        <v>27019.759999999998</v>
      </c>
      <c r="H63" s="8">
        <v>12</v>
      </c>
    </row>
    <row r="64" spans="1:9" s="6" customFormat="1">
      <c r="A64" s="16">
        <v>246</v>
      </c>
      <c r="B64" s="16" t="s">
        <v>144</v>
      </c>
      <c r="C64" s="6" t="s">
        <v>164</v>
      </c>
      <c r="D64" s="7" t="s">
        <v>213</v>
      </c>
      <c r="E64" s="16">
        <v>14</v>
      </c>
      <c r="F64" s="16">
        <v>34</v>
      </c>
      <c r="G64" s="149">
        <v>27019.759999999998</v>
      </c>
      <c r="H64" s="8">
        <v>12</v>
      </c>
    </row>
    <row r="65" spans="1:8" s="6" customFormat="1">
      <c r="A65" s="16">
        <v>247</v>
      </c>
      <c r="B65" s="16" t="s">
        <v>145</v>
      </c>
      <c r="C65" s="6" t="s">
        <v>164</v>
      </c>
      <c r="D65" s="7" t="s">
        <v>213</v>
      </c>
      <c r="E65" s="16">
        <v>14</v>
      </c>
      <c r="F65" s="16">
        <v>34</v>
      </c>
      <c r="G65" s="149">
        <v>27019.759999999998</v>
      </c>
      <c r="H65" s="8">
        <v>12</v>
      </c>
    </row>
    <row r="66" spans="1:8" s="6" customFormat="1">
      <c r="A66" s="16">
        <v>263</v>
      </c>
      <c r="B66" s="16" t="s">
        <v>146</v>
      </c>
      <c r="C66" s="6" t="s">
        <v>164</v>
      </c>
      <c r="D66" s="7" t="s">
        <v>213</v>
      </c>
      <c r="E66" s="16">
        <v>14</v>
      </c>
      <c r="F66" s="16">
        <v>34</v>
      </c>
      <c r="G66" s="149">
        <v>27019.759999999998</v>
      </c>
      <c r="H66" s="8">
        <v>12</v>
      </c>
    </row>
    <row r="67" spans="1:8" s="6" customFormat="1">
      <c r="A67" s="16">
        <v>250</v>
      </c>
      <c r="B67" s="16" t="s">
        <v>148</v>
      </c>
      <c r="C67" s="6" t="s">
        <v>164</v>
      </c>
      <c r="D67" s="7" t="s">
        <v>213</v>
      </c>
      <c r="E67" s="16">
        <v>14</v>
      </c>
      <c r="F67" s="16">
        <v>34</v>
      </c>
      <c r="G67" s="149">
        <v>27019.759999999998</v>
      </c>
      <c r="H67" s="8">
        <v>12</v>
      </c>
    </row>
    <row r="68" spans="1:8" s="6" customFormat="1">
      <c r="A68" s="16">
        <v>251</v>
      </c>
      <c r="B68" s="16" t="s">
        <v>149</v>
      </c>
      <c r="C68" s="6" t="s">
        <v>164</v>
      </c>
      <c r="D68" s="7" t="s">
        <v>213</v>
      </c>
      <c r="E68" s="16">
        <v>14</v>
      </c>
      <c r="F68" s="16">
        <v>34</v>
      </c>
      <c r="G68" s="149">
        <v>27019.759999999998</v>
      </c>
      <c r="H68" s="8">
        <v>12</v>
      </c>
    </row>
    <row r="69" spans="1:8" s="6" customFormat="1">
      <c r="A69" s="16">
        <v>253</v>
      </c>
      <c r="B69" s="16" t="s">
        <v>151</v>
      </c>
      <c r="C69" s="6" t="s">
        <v>164</v>
      </c>
      <c r="D69" s="7" t="s">
        <v>213</v>
      </c>
      <c r="E69" s="16">
        <v>14</v>
      </c>
      <c r="F69" s="16">
        <v>34</v>
      </c>
      <c r="G69" s="149">
        <v>27019.759999999998</v>
      </c>
      <c r="H69" s="8">
        <v>12</v>
      </c>
    </row>
    <row r="70" spans="1:8" s="6" customFormat="1">
      <c r="A70" s="16">
        <v>254</v>
      </c>
      <c r="B70" s="16" t="s">
        <v>152</v>
      </c>
      <c r="C70" s="6" t="s">
        <v>164</v>
      </c>
      <c r="D70" s="7" t="s">
        <v>213</v>
      </c>
      <c r="E70" s="16">
        <v>14</v>
      </c>
      <c r="F70" s="16">
        <v>34</v>
      </c>
      <c r="G70" s="149">
        <v>27019.759999999998</v>
      </c>
      <c r="H70" s="8">
        <v>12</v>
      </c>
    </row>
    <row r="71" spans="1:8" s="6" customFormat="1">
      <c r="A71" s="16">
        <v>255</v>
      </c>
      <c r="B71" s="16" t="s">
        <v>153</v>
      </c>
      <c r="C71" s="6" t="s">
        <v>164</v>
      </c>
      <c r="D71" s="7" t="s">
        <v>213</v>
      </c>
      <c r="E71" s="16">
        <v>14</v>
      </c>
      <c r="F71" s="16">
        <v>34</v>
      </c>
      <c r="G71" s="149">
        <v>27019.759999999998</v>
      </c>
      <c r="H71" s="8">
        <v>12</v>
      </c>
    </row>
    <row r="72" spans="1:8" s="6" customFormat="1">
      <c r="A72" s="16">
        <v>256</v>
      </c>
      <c r="B72" s="16" t="s">
        <v>154</v>
      </c>
      <c r="C72" s="6" t="s">
        <v>164</v>
      </c>
      <c r="D72" s="7" t="s">
        <v>213</v>
      </c>
      <c r="E72" s="16">
        <v>14</v>
      </c>
      <c r="F72" s="16">
        <v>34</v>
      </c>
      <c r="G72" s="149">
        <v>27019.759999999998</v>
      </c>
      <c r="H72" s="8">
        <v>12</v>
      </c>
    </row>
    <row r="73" spans="1:8" s="6" customFormat="1">
      <c r="A73" s="16">
        <v>257</v>
      </c>
      <c r="B73" s="16" t="s">
        <v>155</v>
      </c>
      <c r="C73" s="6" t="s">
        <v>164</v>
      </c>
      <c r="D73" s="7" t="s">
        <v>213</v>
      </c>
      <c r="E73" s="16">
        <v>14</v>
      </c>
      <c r="F73" s="16">
        <v>34</v>
      </c>
      <c r="G73" s="149">
        <v>27019.759999999998</v>
      </c>
      <c r="H73" s="8">
        <v>12</v>
      </c>
    </row>
    <row r="74" spans="1:8" s="6" customFormat="1">
      <c r="A74" s="16">
        <v>258</v>
      </c>
      <c r="B74" s="16" t="s">
        <v>156</v>
      </c>
      <c r="C74" s="6" t="s">
        <v>164</v>
      </c>
      <c r="D74" s="7" t="s">
        <v>213</v>
      </c>
      <c r="E74" s="16">
        <v>14</v>
      </c>
      <c r="F74" s="16">
        <v>34</v>
      </c>
      <c r="G74" s="149">
        <v>27019.759999999998</v>
      </c>
      <c r="H74" s="8">
        <v>12</v>
      </c>
    </row>
    <row r="75" spans="1:8" s="6" customFormat="1">
      <c r="A75" s="16">
        <v>264</v>
      </c>
      <c r="B75" s="16" t="s">
        <v>157</v>
      </c>
      <c r="C75" s="6" t="s">
        <v>164</v>
      </c>
      <c r="D75" s="7" t="s">
        <v>213</v>
      </c>
      <c r="E75" s="16">
        <v>14</v>
      </c>
      <c r="F75" s="16">
        <v>34</v>
      </c>
      <c r="G75" s="149">
        <v>27019.759999999998</v>
      </c>
      <c r="H75" s="8">
        <v>12</v>
      </c>
    </row>
    <row r="76" spans="1:8" s="6" customFormat="1">
      <c r="A76" s="16">
        <v>259</v>
      </c>
      <c r="B76" s="16" t="s">
        <v>158</v>
      </c>
      <c r="C76" s="6" t="s">
        <v>164</v>
      </c>
      <c r="D76" s="7" t="s">
        <v>213</v>
      </c>
      <c r="E76" s="16">
        <v>14</v>
      </c>
      <c r="F76" s="16">
        <v>34</v>
      </c>
      <c r="G76" s="149">
        <v>27019.759999999998</v>
      </c>
      <c r="H76" s="8">
        <v>12</v>
      </c>
    </row>
    <row r="77" spans="1:8" s="6" customFormat="1">
      <c r="A77" s="16">
        <v>60</v>
      </c>
      <c r="B77" s="16" t="s">
        <v>17</v>
      </c>
      <c r="C77" s="6" t="s">
        <v>114</v>
      </c>
      <c r="D77" s="7" t="s">
        <v>126</v>
      </c>
      <c r="E77" s="16">
        <v>22</v>
      </c>
      <c r="F77" s="16">
        <v>52</v>
      </c>
      <c r="G77" s="149">
        <v>39636.800000000003</v>
      </c>
      <c r="H77" s="8">
        <v>12</v>
      </c>
    </row>
    <row r="78" spans="1:8" s="6" customFormat="1">
      <c r="A78" s="16">
        <v>53</v>
      </c>
      <c r="B78" s="16" t="s">
        <v>13</v>
      </c>
      <c r="C78" s="6" t="s">
        <v>116</v>
      </c>
      <c r="D78" s="7" t="s">
        <v>0</v>
      </c>
      <c r="E78" s="16">
        <v>15</v>
      </c>
      <c r="F78" s="16">
        <v>37</v>
      </c>
      <c r="G78" s="149">
        <v>29408.22</v>
      </c>
      <c r="H78" s="8">
        <v>12</v>
      </c>
    </row>
    <row r="79" spans="1:8" s="6" customFormat="1">
      <c r="A79" s="16">
        <v>65</v>
      </c>
      <c r="B79" s="16" t="s">
        <v>20</v>
      </c>
      <c r="C79" s="6" t="s">
        <v>116</v>
      </c>
      <c r="D79" s="7" t="s">
        <v>0</v>
      </c>
      <c r="E79" s="16">
        <v>15</v>
      </c>
      <c r="F79" s="16">
        <v>37</v>
      </c>
      <c r="G79" s="149">
        <v>29408.22</v>
      </c>
      <c r="H79" s="8">
        <v>12</v>
      </c>
    </row>
    <row r="80" spans="1:8" s="6" customFormat="1">
      <c r="A80" s="16"/>
      <c r="B80" s="16" t="s">
        <v>211</v>
      </c>
      <c r="C80" s="6" t="s">
        <v>164</v>
      </c>
      <c r="D80" s="7" t="s">
        <v>213</v>
      </c>
      <c r="E80" s="16">
        <v>14</v>
      </c>
      <c r="F80" s="16">
        <v>34</v>
      </c>
      <c r="G80" s="149">
        <v>27019.759999999998</v>
      </c>
      <c r="H80" s="8">
        <v>12</v>
      </c>
    </row>
    <row r="81" spans="1:8" s="6" customFormat="1">
      <c r="A81" s="16"/>
      <c r="B81" s="16" t="s">
        <v>212</v>
      </c>
      <c r="C81" s="6" t="s">
        <v>164</v>
      </c>
      <c r="D81" s="7" t="s">
        <v>213</v>
      </c>
      <c r="E81" s="16">
        <v>14</v>
      </c>
      <c r="F81" s="16">
        <v>34</v>
      </c>
      <c r="G81" s="149">
        <v>27019.759999999998</v>
      </c>
      <c r="H81" s="8">
        <v>12</v>
      </c>
    </row>
    <row r="82" spans="1:8">
      <c r="G82" s="227"/>
      <c r="H82" s="210"/>
    </row>
    <row r="83" spans="1:8">
      <c r="H83" s="210"/>
    </row>
    <row r="84" spans="1:8">
      <c r="H84" s="213"/>
    </row>
    <row r="85" spans="1:8" ht="45.75" customHeight="1">
      <c r="C85" s="147"/>
      <c r="D85" s="147"/>
      <c r="G85" s="119"/>
      <c r="H85" s="213"/>
    </row>
    <row r="86" spans="1:8" ht="45.75" customHeight="1">
      <c r="C86" s="147"/>
      <c r="G86" s="112"/>
      <c r="H86" s="213"/>
    </row>
    <row r="87" spans="1:8">
      <c r="C87" s="147"/>
      <c r="D87" s="147"/>
      <c r="G87" s="120"/>
      <c r="H87" s="213"/>
    </row>
    <row r="88" spans="1:8">
      <c r="C88" s="147"/>
      <c r="G88" s="100"/>
      <c r="H88" s="149"/>
    </row>
    <row r="89" spans="1:8" ht="31.5" customHeight="1">
      <c r="G89" s="120"/>
      <c r="H89" s="210"/>
    </row>
    <row r="90" spans="1:8">
      <c r="G90" s="100"/>
      <c r="H90" s="210"/>
    </row>
    <row r="91" spans="1:8">
      <c r="G91" s="120"/>
      <c r="H91" s="210"/>
    </row>
    <row r="92" spans="1:8">
      <c r="G92" s="120"/>
      <c r="H92" s="210"/>
    </row>
    <row r="93" spans="1:8">
      <c r="G93" s="120"/>
      <c r="H93" s="210"/>
    </row>
    <row r="94" spans="1:8">
      <c r="G94" s="100"/>
      <c r="H94" s="210"/>
    </row>
    <row r="95" spans="1:8">
      <c r="G95" s="120"/>
      <c r="H95" s="210"/>
    </row>
    <row r="96" spans="1:8">
      <c r="H96" s="210"/>
    </row>
    <row r="97" spans="7:8">
      <c r="G97" s="120"/>
      <c r="H97" s="210"/>
    </row>
    <row r="98" spans="7:8">
      <c r="G98" s="100"/>
      <c r="H98" s="210"/>
    </row>
    <row r="99" spans="7:8">
      <c r="G99" s="120"/>
      <c r="H99" s="210"/>
    </row>
    <row r="100" spans="7:8">
      <c r="G100" s="100"/>
      <c r="H100" s="210"/>
    </row>
    <row r="101" spans="7:8">
      <c r="G101" s="120"/>
      <c r="H101" s="210"/>
    </row>
    <row r="102" spans="7:8">
      <c r="G102" s="100"/>
      <c r="H102" s="210"/>
    </row>
    <row r="103" spans="7:8">
      <c r="G103" s="120"/>
      <c r="H103" s="210"/>
    </row>
    <row r="104" spans="7:8">
      <c r="G104" s="100"/>
      <c r="H104" s="210"/>
    </row>
    <row r="105" spans="7:8">
      <c r="G105" s="120"/>
      <c r="H105" s="210"/>
    </row>
    <row r="106" spans="7:8">
      <c r="H106" s="210"/>
    </row>
    <row r="107" spans="7:8">
      <c r="G107" s="120"/>
      <c r="H107" s="210"/>
    </row>
    <row r="108" spans="7:8">
      <c r="G108" s="100"/>
      <c r="H108" s="210"/>
    </row>
    <row r="109" spans="7:8">
      <c r="G109" s="120"/>
      <c r="H109" s="210"/>
    </row>
    <row r="110" spans="7:8">
      <c r="G110" s="120"/>
      <c r="H110" s="210"/>
    </row>
    <row r="111" spans="7:8">
      <c r="G111" s="120"/>
      <c r="H111" s="210"/>
    </row>
    <row r="112" spans="7:8">
      <c r="G112" s="100"/>
      <c r="H112" s="210"/>
    </row>
    <row r="113" spans="7:8">
      <c r="G113" s="100"/>
      <c r="H113" s="210"/>
    </row>
    <row r="114" spans="7:8">
      <c r="H114" s="210"/>
    </row>
    <row r="115" spans="7:8">
      <c r="H115" s="210"/>
    </row>
    <row r="116" spans="7:8">
      <c r="H116" s="210"/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scale="5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EA80B-EBF3-4167-A097-62B76439B2EB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83"/>
  <sheetViews>
    <sheetView topLeftCell="G58" zoomScale="80" zoomScaleNormal="80" workbookViewId="0">
      <selection activeCell="G39" sqref="G39"/>
    </sheetView>
  </sheetViews>
  <sheetFormatPr baseColWidth="10" defaultRowHeight="15"/>
  <cols>
    <col min="1" max="1" width="12.7109375" customWidth="1"/>
    <col min="3" max="3" width="59.42578125" bestFit="1" customWidth="1"/>
    <col min="4" max="4" width="48.7109375" customWidth="1"/>
    <col min="5" max="7" width="11.42578125" customWidth="1"/>
    <col min="8" max="8" width="10.42578125" customWidth="1"/>
    <col min="9" max="12" width="11.42578125" customWidth="1"/>
    <col min="13" max="13" width="14" customWidth="1"/>
    <col min="14" max="28" width="11.42578125" customWidth="1"/>
    <col min="29" max="29" width="13.85546875" customWidth="1"/>
    <col min="30" max="31" width="19.28515625" customWidth="1"/>
  </cols>
  <sheetData>
    <row r="1" spans="1:33" ht="15.75" thickBot="1">
      <c r="C1" t="s">
        <v>433</v>
      </c>
      <c r="G1" s="1"/>
      <c r="L1" s="1"/>
    </row>
    <row r="2" spans="1:33" ht="15.75" customHeight="1" thickTop="1">
      <c r="G2" s="1"/>
      <c r="I2" s="265" t="s">
        <v>432</v>
      </c>
      <c r="J2" s="266"/>
      <c r="K2" s="266"/>
      <c r="L2" s="266"/>
      <c r="M2" s="266"/>
      <c r="N2" s="266"/>
      <c r="O2" s="266"/>
      <c r="P2" s="267"/>
    </row>
    <row r="3" spans="1:33" ht="15.75" customHeight="1" thickBot="1">
      <c r="G3" s="1"/>
      <c r="I3" s="268"/>
      <c r="J3" s="269"/>
      <c r="K3" s="269"/>
      <c r="L3" s="269"/>
      <c r="M3" s="269"/>
      <c r="N3" s="269"/>
      <c r="O3" s="269"/>
      <c r="P3" s="270"/>
    </row>
    <row r="4" spans="1:33" ht="15.75" thickTop="1">
      <c r="G4" s="1"/>
      <c r="L4" s="1"/>
    </row>
    <row r="5" spans="1:33">
      <c r="AE5" s="116"/>
    </row>
    <row r="6" spans="1:33">
      <c r="A6" s="10"/>
      <c r="B6" s="10"/>
      <c r="C6" s="10" t="s">
        <v>189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6.25">
      <c r="A7" s="9" t="s">
        <v>243</v>
      </c>
      <c r="B7" s="9" t="s">
        <v>51</v>
      </c>
      <c r="C7" s="12" t="s">
        <v>90</v>
      </c>
      <c r="D7" s="9" t="s">
        <v>360</v>
      </c>
      <c r="E7" s="13" t="s">
        <v>124</v>
      </c>
      <c r="F7" s="13" t="s">
        <v>176</v>
      </c>
      <c r="G7" s="13" t="s">
        <v>125</v>
      </c>
      <c r="H7" s="9" t="s">
        <v>32</v>
      </c>
      <c r="I7" s="9" t="s">
        <v>167</v>
      </c>
      <c r="J7" s="9" t="s">
        <v>168</v>
      </c>
      <c r="K7" s="14" t="s">
        <v>92</v>
      </c>
      <c r="L7" s="14" t="s">
        <v>93</v>
      </c>
      <c r="M7" s="14" t="s">
        <v>94</v>
      </c>
      <c r="N7" s="14" t="s">
        <v>95</v>
      </c>
      <c r="O7" s="14" t="s">
        <v>96</v>
      </c>
      <c r="P7" s="14" t="s">
        <v>97</v>
      </c>
      <c r="Q7" s="14" t="s">
        <v>98</v>
      </c>
      <c r="R7" s="14" t="s">
        <v>99</v>
      </c>
      <c r="S7" s="14" t="s">
        <v>100</v>
      </c>
      <c r="T7" s="14" t="s">
        <v>101</v>
      </c>
      <c r="U7" s="9" t="s">
        <v>102</v>
      </c>
      <c r="V7" s="14" t="s">
        <v>103</v>
      </c>
      <c r="W7" s="14" t="s">
        <v>104</v>
      </c>
      <c r="X7" s="14" t="s">
        <v>105</v>
      </c>
      <c r="Y7" s="14" t="s">
        <v>106</v>
      </c>
      <c r="Z7" s="14" t="s">
        <v>107</v>
      </c>
      <c r="AA7" s="14" t="s">
        <v>108</v>
      </c>
      <c r="AB7" s="14" t="s">
        <v>109</v>
      </c>
      <c r="AC7" s="14" t="s">
        <v>110</v>
      </c>
      <c r="AD7" s="102" t="s">
        <v>342</v>
      </c>
      <c r="AE7" s="121" t="s">
        <v>343</v>
      </c>
    </row>
    <row r="8" spans="1:33">
      <c r="A8" s="72" t="s">
        <v>263</v>
      </c>
      <c r="B8" s="72" t="s">
        <v>187</v>
      </c>
      <c r="C8" s="139" t="s">
        <v>88</v>
      </c>
      <c r="D8" s="73" t="s">
        <v>365</v>
      </c>
      <c r="E8" s="70" t="s">
        <v>7</v>
      </c>
      <c r="F8" s="70">
        <v>5</v>
      </c>
      <c r="G8" s="74">
        <v>45959</v>
      </c>
      <c r="H8" s="72" t="s">
        <v>7</v>
      </c>
      <c r="I8" s="72">
        <v>18</v>
      </c>
      <c r="J8" s="72">
        <v>37</v>
      </c>
      <c r="K8" s="75">
        <v>857.3</v>
      </c>
      <c r="L8" s="75">
        <f>(31.38*F8)</f>
        <v>156.9</v>
      </c>
      <c r="M8" s="75">
        <f>ROUND((S8+T8+N8+O8)*2/12,2)</f>
        <v>372.78</v>
      </c>
      <c r="N8" s="75">
        <v>470.09</v>
      </c>
      <c r="O8" s="75">
        <f>24.06*J8</f>
        <v>890.21999999999991</v>
      </c>
      <c r="P8" s="67">
        <v>137.65</v>
      </c>
      <c r="Q8" s="71"/>
      <c r="R8" s="77">
        <v>433.64</v>
      </c>
      <c r="S8" s="67">
        <v>740.97</v>
      </c>
      <c r="T8" s="75">
        <f>27.08*F8</f>
        <v>135.39999999999998</v>
      </c>
      <c r="U8" s="76">
        <v>12</v>
      </c>
      <c r="V8" s="71">
        <f>ROUND(K8*U8,2)</f>
        <v>10287.6</v>
      </c>
      <c r="W8" s="71">
        <f>ROUND(L8*U8,2)</f>
        <v>1882.8</v>
      </c>
      <c r="X8" s="71">
        <f>ROUND(M8*U8,2)</f>
        <v>4473.3599999999997</v>
      </c>
      <c r="Y8" s="71">
        <f t="shared" ref="Y8" si="0">ROUND(N8*U8,2)</f>
        <v>5641.08</v>
      </c>
      <c r="Z8" s="71">
        <f t="shared" ref="Z8" si="1">ROUND(O8*U8,2)</f>
        <v>10682.64</v>
      </c>
      <c r="AA8" s="71">
        <f t="shared" ref="AA8" si="2">ROUND(P8*U8,2)</f>
        <v>1651.8</v>
      </c>
      <c r="AB8" s="71">
        <f>ROUND(Q8*U8,2)</f>
        <v>0</v>
      </c>
      <c r="AC8" s="146">
        <f>ROUND(R8*U8,2)</f>
        <v>5203.68</v>
      </c>
      <c r="AD8" s="104">
        <f>V8+W8+X8+Y8+Z8+AA8</f>
        <v>34619.279999999999</v>
      </c>
      <c r="AE8" s="5">
        <f>AD8-W8-264.2</f>
        <v>32472.28</v>
      </c>
    </row>
    <row r="9" spans="1:33">
      <c r="A9" s="87"/>
      <c r="B9" s="87"/>
      <c r="C9" s="88"/>
      <c r="D9" s="89"/>
      <c r="E9" s="90"/>
      <c r="F9" s="90"/>
      <c r="G9" s="91"/>
      <c r="H9" s="87"/>
      <c r="I9" s="87"/>
      <c r="J9" s="87"/>
      <c r="K9" s="92"/>
      <c r="L9" s="92"/>
      <c r="M9" s="92"/>
      <c r="N9" s="92"/>
      <c r="O9" s="92"/>
      <c r="P9" s="92"/>
      <c r="Q9" s="93"/>
      <c r="R9" s="92"/>
      <c r="S9" s="92"/>
      <c r="T9" s="92"/>
      <c r="U9" s="88"/>
      <c r="V9" s="93"/>
      <c r="W9" s="93"/>
      <c r="X9" s="93"/>
      <c r="Y9" s="93"/>
      <c r="Z9" s="93"/>
      <c r="AA9" s="93"/>
      <c r="AB9" s="93"/>
      <c r="AC9" s="93"/>
      <c r="AD9" s="105">
        <f>SUM(AD8:AD8)</f>
        <v>34619.279999999999</v>
      </c>
      <c r="AE9" s="105">
        <f>SUM(AE8:AE8)</f>
        <v>32472.28</v>
      </c>
    </row>
    <row r="10" spans="1:33">
      <c r="AE10" s="115"/>
    </row>
    <row r="11" spans="1:33">
      <c r="A11" s="19"/>
      <c r="B11" s="19"/>
      <c r="C11" s="19" t="s">
        <v>192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1"/>
    </row>
    <row r="12" spans="1:33" ht="26.25">
      <c r="A12" s="18" t="s">
        <v>243</v>
      </c>
      <c r="B12" s="18" t="s">
        <v>51</v>
      </c>
      <c r="C12" s="21" t="s">
        <v>90</v>
      </c>
      <c r="D12" s="18" t="s">
        <v>360</v>
      </c>
      <c r="E12" s="22" t="s">
        <v>124</v>
      </c>
      <c r="F12" s="22" t="s">
        <v>176</v>
      </c>
      <c r="G12" s="22" t="s">
        <v>125</v>
      </c>
      <c r="H12" s="18" t="s">
        <v>32</v>
      </c>
      <c r="I12" s="18" t="s">
        <v>167</v>
      </c>
      <c r="J12" s="18" t="s">
        <v>168</v>
      </c>
      <c r="K12" s="23" t="s">
        <v>92</v>
      </c>
      <c r="L12" s="23" t="s">
        <v>93</v>
      </c>
      <c r="M12" s="23" t="s">
        <v>94</v>
      </c>
      <c r="N12" s="23" t="s">
        <v>95</v>
      </c>
      <c r="O12" s="23" t="s">
        <v>96</v>
      </c>
      <c r="P12" s="23" t="s">
        <v>97</v>
      </c>
      <c r="Q12" s="23" t="s">
        <v>98</v>
      </c>
      <c r="R12" s="23" t="s">
        <v>99</v>
      </c>
      <c r="S12" s="23" t="s">
        <v>100</v>
      </c>
      <c r="T12" s="23" t="s">
        <v>101</v>
      </c>
      <c r="U12" s="18" t="s">
        <v>102</v>
      </c>
      <c r="V12" s="23" t="s">
        <v>103</v>
      </c>
      <c r="W12" s="23" t="s">
        <v>104</v>
      </c>
      <c r="X12" s="23" t="s">
        <v>105</v>
      </c>
      <c r="Y12" s="23" t="s">
        <v>106</v>
      </c>
      <c r="Z12" s="23" t="s">
        <v>107</v>
      </c>
      <c r="AA12" s="23" t="s">
        <v>108</v>
      </c>
      <c r="AB12" s="23" t="s">
        <v>109</v>
      </c>
      <c r="AC12" s="23" t="s">
        <v>110</v>
      </c>
      <c r="AD12" s="106" t="s">
        <v>342</v>
      </c>
      <c r="AE12" s="124" t="s">
        <v>343</v>
      </c>
    </row>
    <row r="13" spans="1:33">
      <c r="A13" s="72" t="s">
        <v>248</v>
      </c>
      <c r="B13" s="72" t="s">
        <v>186</v>
      </c>
      <c r="C13" s="135" t="s">
        <v>56</v>
      </c>
      <c r="D13" s="73" t="s">
        <v>358</v>
      </c>
      <c r="E13" s="70" t="s">
        <v>126</v>
      </c>
      <c r="F13" s="131">
        <v>8</v>
      </c>
      <c r="G13" s="74">
        <v>46394</v>
      </c>
      <c r="H13" s="72" t="s">
        <v>7</v>
      </c>
      <c r="I13" s="72">
        <v>22</v>
      </c>
      <c r="J13" s="72">
        <v>52</v>
      </c>
      <c r="K13" s="75">
        <v>857.3</v>
      </c>
      <c r="L13" s="133">
        <f>(1*21.36)+(6*31.38)</f>
        <v>209.64</v>
      </c>
      <c r="M13" s="75">
        <f>ROUND((S13+T13+N13+O13)*2/12,2)</f>
        <v>468.31</v>
      </c>
      <c r="N13" s="75">
        <v>607.04999999999995</v>
      </c>
      <c r="O13" s="75">
        <f>J13*24.06</f>
        <v>1251.1199999999999</v>
      </c>
      <c r="P13" s="75">
        <v>137.65</v>
      </c>
      <c r="Q13" s="71"/>
      <c r="R13" s="75"/>
      <c r="S13" s="75">
        <v>740.97</v>
      </c>
      <c r="T13" s="134">
        <f>(1*21.13)+(7*27.08)</f>
        <v>210.69</v>
      </c>
      <c r="U13" s="76">
        <v>12</v>
      </c>
      <c r="V13" s="71">
        <f>ROUND(K13*U13,2)</f>
        <v>10287.6</v>
      </c>
      <c r="W13" s="71">
        <f>ROUND(L13*U13,2)+11*31.38</f>
        <v>2860.8599999999997</v>
      </c>
      <c r="X13" s="71">
        <f>ROUND(M13*U13,2)</f>
        <v>5619.72</v>
      </c>
      <c r="Y13" s="71">
        <f>ROUND(N13*U13,2)</f>
        <v>7284.6</v>
      </c>
      <c r="Z13" s="71">
        <f>ROUND(O13*U13,2)</f>
        <v>15013.44</v>
      </c>
      <c r="AA13" s="71">
        <f>ROUND(P13*U13,2)</f>
        <v>1651.8</v>
      </c>
      <c r="AB13" s="71">
        <f>ROUND(Q13*U13,2)</f>
        <v>0</v>
      </c>
      <c r="AC13" s="71">
        <f>ROUND(R13*U13,2)</f>
        <v>0</v>
      </c>
      <c r="AD13" s="104">
        <f>V13+W13+X13+Y13+Z13+AA13</f>
        <v>42718.020000000004</v>
      </c>
      <c r="AE13" s="71">
        <f>AD13-W13-421.38</f>
        <v>39435.780000000006</v>
      </c>
    </row>
    <row r="14" spans="1:33">
      <c r="A14" s="70" t="s">
        <v>247</v>
      </c>
      <c r="B14" s="70" t="s">
        <v>434</v>
      </c>
      <c r="C14" s="85" t="s">
        <v>203</v>
      </c>
      <c r="D14" s="73" t="s">
        <v>359</v>
      </c>
      <c r="E14" s="70" t="s">
        <v>183</v>
      </c>
      <c r="F14" s="70">
        <v>8</v>
      </c>
      <c r="G14" s="79">
        <v>45919</v>
      </c>
      <c r="H14" s="70" t="s">
        <v>0</v>
      </c>
      <c r="I14" s="70">
        <v>18</v>
      </c>
      <c r="J14" s="70">
        <v>37</v>
      </c>
      <c r="K14" s="75">
        <v>713.51</v>
      </c>
      <c r="L14" s="75">
        <f>(21.36*F14)</f>
        <v>170.88</v>
      </c>
      <c r="M14" s="75">
        <f t="shared" ref="M14" si="3">ROUND((S14+T14+N14+O14)*2/12,2)</f>
        <v>372.73</v>
      </c>
      <c r="N14" s="75">
        <v>470.09</v>
      </c>
      <c r="O14" s="75">
        <f>J14*24.06</f>
        <v>890.21999999999991</v>
      </c>
      <c r="P14" s="75">
        <v>113.46</v>
      </c>
      <c r="Q14" s="71"/>
      <c r="R14" s="71"/>
      <c r="S14" s="75">
        <v>707.01</v>
      </c>
      <c r="T14" s="71">
        <f>21.13*F14</f>
        <v>169.04</v>
      </c>
      <c r="U14" s="76">
        <v>12</v>
      </c>
      <c r="V14" s="71">
        <f>ROUND(K14*U14,2)</f>
        <v>8562.1200000000008</v>
      </c>
      <c r="W14" s="71">
        <f>ROUND(L14*U14,2)</f>
        <v>2050.56</v>
      </c>
      <c r="X14" s="71">
        <f>ROUND(M14*U14,2)</f>
        <v>4472.76</v>
      </c>
      <c r="Y14" s="71">
        <f t="shared" ref="Y14:Y15" si="4">ROUND(N14*U14,2)</f>
        <v>5641.08</v>
      </c>
      <c r="Z14" s="71">
        <f t="shared" ref="Z14:Z15" si="5">ROUND(O14*U14,2)</f>
        <v>10682.64</v>
      </c>
      <c r="AA14" s="71">
        <f t="shared" ref="AA14:AA15" si="6">ROUND(P14*U14,2)</f>
        <v>1361.52</v>
      </c>
      <c r="AB14" s="71">
        <f>ROUND(Q14*U14,2)</f>
        <v>0</v>
      </c>
      <c r="AC14" s="71">
        <f>ROUND(R14*U14,2)</f>
        <v>0</v>
      </c>
      <c r="AD14" s="104">
        <f>V14+W14+X14+Y14+Z14+AA14</f>
        <v>32770.68</v>
      </c>
      <c r="AE14" s="71">
        <f>AD14-W14-338.08</f>
        <v>30382.039999999997</v>
      </c>
      <c r="AG14" s="100"/>
    </row>
    <row r="15" spans="1:33">
      <c r="A15" s="72" t="s">
        <v>245</v>
      </c>
      <c r="B15" s="72" t="s">
        <v>186</v>
      </c>
      <c r="C15" s="136" t="s">
        <v>55</v>
      </c>
      <c r="D15" s="73" t="s">
        <v>364</v>
      </c>
      <c r="E15" s="70" t="s">
        <v>3</v>
      </c>
      <c r="F15" s="70">
        <v>7</v>
      </c>
      <c r="G15" s="74">
        <v>45521</v>
      </c>
      <c r="H15" s="72" t="s">
        <v>3</v>
      </c>
      <c r="I15" s="72">
        <v>22</v>
      </c>
      <c r="J15" s="72">
        <v>54</v>
      </c>
      <c r="K15" s="75">
        <v>1141.8</v>
      </c>
      <c r="L15" s="77">
        <f>(21.36*5)+(44.44*2)</f>
        <v>195.68</v>
      </c>
      <c r="M15" s="75">
        <f>((S15+T15+N15+O15)/12)+((N15+O15+S15+196.28)/12)</f>
        <v>486.70083333333332</v>
      </c>
      <c r="N15" s="75">
        <v>607.04999999999995</v>
      </c>
      <c r="O15" s="75">
        <f>24.06*J15</f>
        <v>1299.24</v>
      </c>
      <c r="P15" s="75">
        <v>166.95</v>
      </c>
      <c r="Q15" s="71"/>
      <c r="R15" s="71"/>
      <c r="S15" s="75">
        <v>832.74</v>
      </c>
      <c r="T15" s="71">
        <f>(21.13*5)+(30.21*2)</f>
        <v>166.07</v>
      </c>
      <c r="U15" s="76">
        <v>12</v>
      </c>
      <c r="V15" s="71">
        <f>ROUND(K15*U15,2)</f>
        <v>13701.6</v>
      </c>
      <c r="W15" s="71">
        <f>ROUND(L15*U15,2)+4*41.44</f>
        <v>2513.92</v>
      </c>
      <c r="X15" s="71">
        <f>ROUND(M15*U15,2)</f>
        <v>5840.41</v>
      </c>
      <c r="Y15" s="71">
        <f t="shared" si="4"/>
        <v>7284.6</v>
      </c>
      <c r="Z15" s="71">
        <f t="shared" si="5"/>
        <v>15590.88</v>
      </c>
      <c r="AA15" s="71">
        <f t="shared" si="6"/>
        <v>2003.4</v>
      </c>
      <c r="AB15" s="71">
        <f>ROUND(Q15*U15,2)</f>
        <v>0</v>
      </c>
      <c r="AC15" s="71">
        <f>ROUND(R15*U15,2)</f>
        <v>0</v>
      </c>
      <c r="AD15" s="104">
        <f>V15+W15+X15+Y15+Z15+AA15</f>
        <v>46934.81</v>
      </c>
      <c r="AE15" s="71">
        <f>AD15-W15-362.35</f>
        <v>44058.54</v>
      </c>
    </row>
    <row r="16" spans="1:33">
      <c r="A16" s="87"/>
      <c r="B16" s="87"/>
      <c r="C16" s="88"/>
      <c r="D16" s="89"/>
      <c r="E16" s="90"/>
      <c r="F16" s="90"/>
      <c r="G16" s="91"/>
      <c r="H16" s="87"/>
      <c r="I16" s="87"/>
      <c r="J16" s="87"/>
      <c r="K16" s="92"/>
      <c r="L16" s="94"/>
      <c r="M16" s="92"/>
      <c r="N16" s="92"/>
      <c r="O16" s="92"/>
      <c r="P16" s="92"/>
      <c r="Q16" s="93"/>
      <c r="R16" s="93"/>
      <c r="S16" s="92"/>
      <c r="T16" s="93"/>
      <c r="U16" s="88"/>
      <c r="V16" s="93"/>
      <c r="W16" s="93"/>
      <c r="X16" s="93"/>
      <c r="Y16" s="93"/>
      <c r="Z16" s="93"/>
      <c r="AA16" s="93"/>
      <c r="AB16" s="93"/>
      <c r="AC16" s="93"/>
      <c r="AD16" s="105">
        <f>SUM(AD13:AD15)</f>
        <v>122423.51000000001</v>
      </c>
      <c r="AE16" s="105">
        <f>SUM(AE13:AE15)</f>
        <v>113876.36000000002</v>
      </c>
    </row>
    <row r="17" spans="1:33">
      <c r="AE17" s="115"/>
    </row>
    <row r="18" spans="1:33">
      <c r="A18" s="25"/>
      <c r="B18" s="25"/>
      <c r="C18" s="25" t="s">
        <v>200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7"/>
    </row>
    <row r="19" spans="1:33" ht="26.25">
      <c r="A19" s="24" t="s">
        <v>243</v>
      </c>
      <c r="B19" s="24" t="s">
        <v>51</v>
      </c>
      <c r="C19" s="27" t="s">
        <v>90</v>
      </c>
      <c r="D19" s="24" t="s">
        <v>360</v>
      </c>
      <c r="E19" s="28" t="s">
        <v>124</v>
      </c>
      <c r="F19" s="28" t="s">
        <v>176</v>
      </c>
      <c r="G19" s="28" t="s">
        <v>125</v>
      </c>
      <c r="H19" s="24" t="s">
        <v>32</v>
      </c>
      <c r="I19" s="24" t="s">
        <v>167</v>
      </c>
      <c r="J19" s="24" t="s">
        <v>168</v>
      </c>
      <c r="K19" s="29" t="s">
        <v>92</v>
      </c>
      <c r="L19" s="29" t="s">
        <v>93</v>
      </c>
      <c r="M19" s="29" t="s">
        <v>94</v>
      </c>
      <c r="N19" s="29" t="s">
        <v>95</v>
      </c>
      <c r="O19" s="29" t="s">
        <v>96</v>
      </c>
      <c r="P19" s="29" t="s">
        <v>97</v>
      </c>
      <c r="Q19" s="29" t="s">
        <v>98</v>
      </c>
      <c r="R19" s="29" t="s">
        <v>99</v>
      </c>
      <c r="S19" s="29" t="s">
        <v>100</v>
      </c>
      <c r="T19" s="29" t="s">
        <v>101</v>
      </c>
      <c r="U19" s="24" t="s">
        <v>102</v>
      </c>
      <c r="V19" s="29" t="s">
        <v>103</v>
      </c>
      <c r="W19" s="29" t="s">
        <v>104</v>
      </c>
      <c r="X19" s="29" t="s">
        <v>105</v>
      </c>
      <c r="Y19" s="29" t="s">
        <v>106</v>
      </c>
      <c r="Z19" s="29" t="s">
        <v>107</v>
      </c>
      <c r="AA19" s="29" t="s">
        <v>108</v>
      </c>
      <c r="AB19" s="29" t="s">
        <v>109</v>
      </c>
      <c r="AC19" s="29" t="s">
        <v>110</v>
      </c>
      <c r="AD19" s="107" t="s">
        <v>342</v>
      </c>
      <c r="AE19" s="122" t="s">
        <v>343</v>
      </c>
    </row>
    <row r="20" spans="1:33">
      <c r="A20" s="72" t="s">
        <v>277</v>
      </c>
      <c r="B20" s="72" t="s">
        <v>194</v>
      </c>
      <c r="C20" s="135" t="s">
        <v>69</v>
      </c>
      <c r="D20" s="73" t="s">
        <v>363</v>
      </c>
      <c r="E20" s="70" t="s">
        <v>127</v>
      </c>
      <c r="F20" s="70">
        <v>7</v>
      </c>
      <c r="G20" s="74">
        <v>45736</v>
      </c>
      <c r="H20" s="72" t="s">
        <v>11</v>
      </c>
      <c r="I20" s="72">
        <v>24</v>
      </c>
      <c r="J20" s="72">
        <v>63</v>
      </c>
      <c r="K20" s="75">
        <v>1320.49</v>
      </c>
      <c r="L20" s="75">
        <f>50.83*F20</f>
        <v>355.81</v>
      </c>
      <c r="M20" s="75">
        <f>ROUND((S20+T20+N20+O20)*2/12,2)</f>
        <v>541.20000000000005</v>
      </c>
      <c r="N20" s="75">
        <v>694.06</v>
      </c>
      <c r="O20" s="75">
        <f>J20*24.06</f>
        <v>1515.78</v>
      </c>
      <c r="P20" s="75">
        <v>204.29</v>
      </c>
      <c r="Q20" s="71"/>
      <c r="R20" s="71"/>
      <c r="S20" s="75">
        <v>814.87</v>
      </c>
      <c r="T20" s="71">
        <f>(31.78*F20)</f>
        <v>222.46</v>
      </c>
      <c r="U20" s="76">
        <v>12</v>
      </c>
      <c r="V20" s="71">
        <f>ROUND(K20*U20,2)</f>
        <v>15845.88</v>
      </c>
      <c r="W20" s="71">
        <f>ROUND(L20*U20,2)</f>
        <v>4269.72</v>
      </c>
      <c r="X20" s="71">
        <f>ROUND(M20*U20,2)</f>
        <v>6494.4</v>
      </c>
      <c r="Y20" s="71">
        <f>ROUND(N20*U20,2)</f>
        <v>8328.7199999999993</v>
      </c>
      <c r="Z20" s="71">
        <f>ROUND(O20*U20,2)</f>
        <v>18189.36</v>
      </c>
      <c r="AA20" s="71">
        <f>ROUND(P20*U20,2)</f>
        <v>2451.48</v>
      </c>
      <c r="AB20" s="71">
        <f>ROUND(Q20*U20,2)</f>
        <v>0</v>
      </c>
      <c r="AC20" s="71">
        <f>ROUND(R20*U20,2)</f>
        <v>0</v>
      </c>
      <c r="AD20" s="104">
        <f>V20+W20+X20+Y20+Z20+AA20</f>
        <v>55579.560000000005</v>
      </c>
      <c r="AE20" s="71">
        <f>AD20-W20-444.92</f>
        <v>50864.920000000006</v>
      </c>
    </row>
    <row r="21" spans="1:33">
      <c r="A21" s="87"/>
      <c r="B21" s="87"/>
      <c r="C21" s="88"/>
      <c r="D21" s="89"/>
      <c r="E21" s="90"/>
      <c r="F21" s="90"/>
      <c r="G21" s="91"/>
      <c r="H21" s="87"/>
      <c r="I21" s="87"/>
      <c r="J21" s="87"/>
      <c r="K21" s="92"/>
      <c r="L21" s="92"/>
      <c r="M21" s="92"/>
      <c r="N21" s="92"/>
      <c r="O21" s="92"/>
      <c r="P21" s="92"/>
      <c r="Q21" s="93"/>
      <c r="R21" s="92"/>
      <c r="S21" s="92"/>
      <c r="T21" s="92"/>
      <c r="U21" s="88"/>
      <c r="V21" s="93"/>
      <c r="W21" s="93"/>
      <c r="X21" s="93"/>
      <c r="Y21" s="93"/>
      <c r="Z21" s="93"/>
      <c r="AA21" s="93"/>
      <c r="AB21" s="93"/>
      <c r="AC21" s="93"/>
      <c r="AD21" s="105">
        <f>SUM(AD20:AD20)</f>
        <v>55579.560000000005</v>
      </c>
      <c r="AE21" s="105">
        <f>SUM(AE20:AE20)</f>
        <v>50864.920000000006</v>
      </c>
    </row>
    <row r="22" spans="1:33">
      <c r="AE22" s="117"/>
    </row>
    <row r="23" spans="1:33">
      <c r="A23" s="32"/>
      <c r="B23" s="32"/>
      <c r="C23" s="32" t="s">
        <v>199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4"/>
    </row>
    <row r="24" spans="1:33" ht="26.25">
      <c r="A24" s="31" t="s">
        <v>243</v>
      </c>
      <c r="B24" s="31" t="s">
        <v>51</v>
      </c>
      <c r="C24" s="34" t="s">
        <v>90</v>
      </c>
      <c r="D24" s="31" t="s">
        <v>360</v>
      </c>
      <c r="E24" s="35" t="s">
        <v>124</v>
      </c>
      <c r="F24" s="35" t="s">
        <v>176</v>
      </c>
      <c r="G24" s="35" t="s">
        <v>125</v>
      </c>
      <c r="H24" s="31" t="s">
        <v>32</v>
      </c>
      <c r="I24" s="31" t="s">
        <v>167</v>
      </c>
      <c r="J24" s="31" t="s">
        <v>168</v>
      </c>
      <c r="K24" s="36" t="s">
        <v>92</v>
      </c>
      <c r="L24" s="36" t="s">
        <v>93</v>
      </c>
      <c r="M24" s="36" t="s">
        <v>94</v>
      </c>
      <c r="N24" s="36" t="s">
        <v>95</v>
      </c>
      <c r="O24" s="36" t="s">
        <v>96</v>
      </c>
      <c r="P24" s="36" t="s">
        <v>97</v>
      </c>
      <c r="Q24" s="36" t="s">
        <v>98</v>
      </c>
      <c r="R24" s="36" t="s">
        <v>99</v>
      </c>
      <c r="S24" s="36" t="s">
        <v>100</v>
      </c>
      <c r="T24" s="36" t="s">
        <v>101</v>
      </c>
      <c r="U24" s="31" t="s">
        <v>102</v>
      </c>
      <c r="V24" s="36" t="s">
        <v>103</v>
      </c>
      <c r="W24" s="36" t="s">
        <v>104</v>
      </c>
      <c r="X24" s="36" t="s">
        <v>105</v>
      </c>
      <c r="Y24" s="36" t="s">
        <v>106</v>
      </c>
      <c r="Z24" s="36" t="s">
        <v>107</v>
      </c>
      <c r="AA24" s="36" t="s">
        <v>108</v>
      </c>
      <c r="AB24" s="36" t="s">
        <v>109</v>
      </c>
      <c r="AC24" s="36" t="s">
        <v>110</v>
      </c>
      <c r="AD24" s="108" t="s">
        <v>342</v>
      </c>
      <c r="AE24" s="123" t="s">
        <v>343</v>
      </c>
    </row>
    <row r="25" spans="1:33">
      <c r="A25" s="72" t="s">
        <v>297</v>
      </c>
      <c r="B25" s="72" t="s">
        <v>435</v>
      </c>
      <c r="C25" s="139" t="s">
        <v>89</v>
      </c>
      <c r="D25" s="73" t="s">
        <v>364</v>
      </c>
      <c r="E25" s="70" t="s">
        <v>127</v>
      </c>
      <c r="F25" s="70">
        <v>9</v>
      </c>
      <c r="G25" s="74">
        <v>46383</v>
      </c>
      <c r="H25" s="72" t="s">
        <v>3</v>
      </c>
      <c r="I25" s="72">
        <v>24</v>
      </c>
      <c r="J25" s="72">
        <v>63</v>
      </c>
      <c r="K25" s="75">
        <v>1141.8</v>
      </c>
      <c r="L25" s="75">
        <f>41.44*F25</f>
        <v>372.96</v>
      </c>
      <c r="M25" s="75">
        <f t="shared" ref="M25" si="7">ROUND((S25+T25+N25+O25)*2/12,2)</f>
        <v>552.41</v>
      </c>
      <c r="N25" s="75">
        <v>694.06</v>
      </c>
      <c r="O25" s="75">
        <f>J25*24.06</f>
        <v>1515.78</v>
      </c>
      <c r="P25" s="75">
        <v>166.95</v>
      </c>
      <c r="Q25" s="71"/>
      <c r="R25" s="75">
        <v>267.83</v>
      </c>
      <c r="S25" s="75">
        <v>832.74</v>
      </c>
      <c r="T25" s="75">
        <f>(30.21*F25)</f>
        <v>271.89</v>
      </c>
      <c r="U25" s="76">
        <v>12</v>
      </c>
      <c r="V25" s="71">
        <f>ROUND(K25*U25,2)</f>
        <v>13701.6</v>
      </c>
      <c r="W25" s="71">
        <f>ROUND(L25*U25,2)</f>
        <v>4475.5200000000004</v>
      </c>
      <c r="X25" s="71">
        <f>ROUND(M25*U25,2)</f>
        <v>6628.92</v>
      </c>
      <c r="Y25" s="71">
        <f t="shared" ref="Y25" si="8">ROUND(N25*U25,2)</f>
        <v>8328.7199999999993</v>
      </c>
      <c r="Z25" s="71">
        <f t="shared" ref="Z25" si="9">ROUND(O25*U25,2)</f>
        <v>18189.36</v>
      </c>
      <c r="AA25" s="71">
        <f t="shared" ref="AA25" si="10">ROUND(P25*U25,2)</f>
        <v>2003.4</v>
      </c>
      <c r="AB25" s="71">
        <f>ROUND(Q25*U25,2)</f>
        <v>0</v>
      </c>
      <c r="AC25" s="71">
        <f>ROUND(R25*U25,2)</f>
        <v>3213.96</v>
      </c>
      <c r="AD25" s="104">
        <f>V25+W25+X25+Y25+Z25+AA25</f>
        <v>53327.520000000004</v>
      </c>
      <c r="AE25" s="71">
        <f>AD25-W25-543.78</f>
        <v>48308.22</v>
      </c>
    </row>
    <row r="26" spans="1:33">
      <c r="A26" s="70" t="s">
        <v>268</v>
      </c>
      <c r="B26" s="72" t="s">
        <v>436</v>
      </c>
      <c r="C26" s="135" t="s">
        <v>62</v>
      </c>
      <c r="D26" s="73" t="s">
        <v>363</v>
      </c>
      <c r="E26" s="70" t="s">
        <v>11</v>
      </c>
      <c r="F26" s="70">
        <f>'trienios 2024'!H3</f>
        <v>8</v>
      </c>
      <c r="G26" s="74">
        <v>46421</v>
      </c>
      <c r="H26" s="72" t="s">
        <v>11</v>
      </c>
      <c r="I26" s="72">
        <v>22</v>
      </c>
      <c r="J26" s="72">
        <v>57</v>
      </c>
      <c r="K26" s="75">
        <v>1320.49</v>
      </c>
      <c r="L26" s="75">
        <f>50.83*F26</f>
        <v>406.64</v>
      </c>
      <c r="M26" s="75">
        <f>ROUND((S26+T26+N26+O26)*2/12,2)</f>
        <v>513.23</v>
      </c>
      <c r="N26" s="75">
        <v>607.04999999999995</v>
      </c>
      <c r="O26" s="75">
        <f t="shared" ref="O26:O27" si="11">J26*24.06</f>
        <v>1371.4199999999998</v>
      </c>
      <c r="P26" s="75">
        <v>204.29</v>
      </c>
      <c r="Q26" s="71"/>
      <c r="R26" s="71"/>
      <c r="S26" s="75">
        <v>814.87</v>
      </c>
      <c r="T26" s="71">
        <f>(31.78*F26)+31.78</f>
        <v>286.02</v>
      </c>
      <c r="U26" s="76">
        <v>12</v>
      </c>
      <c r="V26" s="71">
        <f>ROUND(K26*U26,2)</f>
        <v>15845.88</v>
      </c>
      <c r="W26" s="71">
        <f>ROUND(L26*U26,2)+10*50.83</f>
        <v>5387.9800000000005</v>
      </c>
      <c r="X26" s="71">
        <f>ROUND(M26*U26,2)</f>
        <v>6158.76</v>
      </c>
      <c r="Y26" s="71">
        <f>ROUND(N26*U26,2)</f>
        <v>7284.6</v>
      </c>
      <c r="Z26" s="71">
        <f>ROUND(O26*U26,2)</f>
        <v>16457.04</v>
      </c>
      <c r="AA26" s="71">
        <f>ROUND(P26*U26,2)</f>
        <v>2451.48</v>
      </c>
      <c r="AB26" s="71">
        <f>ROUND(Q26*U26,2)</f>
        <v>0</v>
      </c>
      <c r="AC26" s="71">
        <f>ROUND(R26*U26,2)</f>
        <v>0</v>
      </c>
      <c r="AD26" s="104">
        <f>V26+W26+X26+Y26+Z26+AA26</f>
        <v>53585.740000000005</v>
      </c>
      <c r="AE26" s="71">
        <f>AD26-W26-508.48</f>
        <v>47689.279999999999</v>
      </c>
      <c r="AG26" s="100"/>
    </row>
    <row r="27" spans="1:33">
      <c r="A27" s="70" t="s">
        <v>244</v>
      </c>
      <c r="B27" s="70" t="s">
        <v>437</v>
      </c>
      <c r="C27" s="85" t="s">
        <v>53</v>
      </c>
      <c r="D27" s="73" t="s">
        <v>359</v>
      </c>
      <c r="E27" s="70" t="s">
        <v>183</v>
      </c>
      <c r="F27" s="70">
        <v>9</v>
      </c>
      <c r="G27" s="79">
        <v>46119</v>
      </c>
      <c r="H27" s="70" t="s">
        <v>0</v>
      </c>
      <c r="I27" s="70">
        <v>18</v>
      </c>
      <c r="J27" s="70">
        <v>37</v>
      </c>
      <c r="K27" s="75">
        <v>713.51</v>
      </c>
      <c r="L27" s="71">
        <f>(21.36*F27)</f>
        <v>192.24</v>
      </c>
      <c r="M27" s="75">
        <f t="shared" ref="M27" si="12">ROUND((S27+T27+N27+O27)*2/12,2)</f>
        <v>376.25</v>
      </c>
      <c r="N27" s="75">
        <v>470.09</v>
      </c>
      <c r="O27" s="75">
        <f t="shared" si="11"/>
        <v>890.21999999999991</v>
      </c>
      <c r="P27" s="75">
        <v>113.46</v>
      </c>
      <c r="Q27" s="71"/>
      <c r="R27" s="71"/>
      <c r="S27" s="75">
        <v>707.01</v>
      </c>
      <c r="T27" s="71">
        <f>21.13*F27</f>
        <v>190.17</v>
      </c>
      <c r="U27" s="76">
        <v>12</v>
      </c>
      <c r="V27" s="71">
        <f>ROUND(K27*U27,2)</f>
        <v>8562.1200000000008</v>
      </c>
      <c r="W27" s="71">
        <f>ROUND(L27*U27,2)</f>
        <v>2306.88</v>
      </c>
      <c r="X27" s="71">
        <f>ROUND(M27*U27,2)</f>
        <v>4515</v>
      </c>
      <c r="Y27" s="71">
        <f t="shared" ref="Y27" si="13">ROUND(N27*U27,2)</f>
        <v>5641.08</v>
      </c>
      <c r="Z27" s="71">
        <f t="shared" ref="Z27" si="14">ROUND(O27*U27,2)</f>
        <v>10682.64</v>
      </c>
      <c r="AA27" s="71">
        <f t="shared" ref="AA27" si="15">ROUND(P27*U27,2)</f>
        <v>1361.52</v>
      </c>
      <c r="AB27" s="71">
        <f>ROUND(Q27*U27,2)</f>
        <v>0</v>
      </c>
      <c r="AC27" s="71">
        <f>ROUND(R27*U27,2)</f>
        <v>0</v>
      </c>
      <c r="AD27" s="104">
        <f>V27+W27+X27+Y27+Z27+AA27</f>
        <v>33069.24</v>
      </c>
      <c r="AE27" s="71">
        <f>AD27-W27-380.34</f>
        <v>30382.019999999997</v>
      </c>
    </row>
    <row r="28" spans="1:33">
      <c r="A28" s="90"/>
      <c r="B28" s="90"/>
      <c r="C28" s="89"/>
      <c r="D28" s="89"/>
      <c r="E28" s="90"/>
      <c r="F28" s="90"/>
      <c r="G28" s="96"/>
      <c r="H28" s="90"/>
      <c r="I28" s="90"/>
      <c r="J28" s="90"/>
      <c r="K28" s="92"/>
      <c r="L28" s="93"/>
      <c r="M28" s="92"/>
      <c r="N28" s="92"/>
      <c r="O28" s="92"/>
      <c r="P28" s="92"/>
      <c r="Q28" s="93"/>
      <c r="R28" s="93"/>
      <c r="S28" s="92"/>
      <c r="T28" s="93"/>
      <c r="U28" s="88"/>
      <c r="V28" s="93"/>
      <c r="W28" s="93"/>
      <c r="X28" s="93"/>
      <c r="Y28" s="93"/>
      <c r="Z28" s="93"/>
      <c r="AA28" s="93"/>
      <c r="AB28" s="93"/>
      <c r="AC28" s="93"/>
      <c r="AD28" s="105">
        <f>SUM(AD25:AD27)</f>
        <v>139982.5</v>
      </c>
      <c r="AE28" s="105">
        <f>SUM(AE25:AE27)</f>
        <v>126379.51999999999</v>
      </c>
    </row>
    <row r="29" spans="1:33">
      <c r="AE29" s="118"/>
    </row>
    <row r="30" spans="1:33">
      <c r="A30" s="38"/>
      <c r="B30" s="38"/>
      <c r="C30" s="38" t="s">
        <v>202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40"/>
    </row>
    <row r="31" spans="1:33" ht="26.25">
      <c r="A31" s="37" t="s">
        <v>243</v>
      </c>
      <c r="B31" s="37" t="s">
        <v>51</v>
      </c>
      <c r="C31" s="40" t="s">
        <v>90</v>
      </c>
      <c r="D31" s="37" t="s">
        <v>360</v>
      </c>
      <c r="E31" s="2" t="s">
        <v>124</v>
      </c>
      <c r="F31" s="2" t="s">
        <v>176</v>
      </c>
      <c r="G31" s="2" t="s">
        <v>125</v>
      </c>
      <c r="H31" s="37" t="s">
        <v>32</v>
      </c>
      <c r="I31" s="37" t="s">
        <v>167</v>
      </c>
      <c r="J31" s="37" t="s">
        <v>168</v>
      </c>
      <c r="K31" s="3" t="s">
        <v>92</v>
      </c>
      <c r="L31" s="3" t="s">
        <v>93</v>
      </c>
      <c r="M31" s="3" t="s">
        <v>94</v>
      </c>
      <c r="N31" s="3" t="s">
        <v>95</v>
      </c>
      <c r="O31" s="3" t="s">
        <v>96</v>
      </c>
      <c r="P31" s="3" t="s">
        <v>97</v>
      </c>
      <c r="Q31" s="3" t="s">
        <v>98</v>
      </c>
      <c r="R31" s="3" t="s">
        <v>99</v>
      </c>
      <c r="S31" s="3" t="s">
        <v>100</v>
      </c>
      <c r="T31" s="3" t="s">
        <v>101</v>
      </c>
      <c r="U31" s="37" t="s">
        <v>102</v>
      </c>
      <c r="V31" s="3" t="s">
        <v>103</v>
      </c>
      <c r="W31" s="3" t="s">
        <v>104</v>
      </c>
      <c r="X31" s="3" t="s">
        <v>105</v>
      </c>
      <c r="Y31" s="3" t="s">
        <v>106</v>
      </c>
      <c r="Z31" s="3" t="s">
        <v>107</v>
      </c>
      <c r="AA31" s="3" t="s">
        <v>108</v>
      </c>
      <c r="AB31" s="3" t="s">
        <v>109</v>
      </c>
      <c r="AC31" s="3" t="s">
        <v>110</v>
      </c>
      <c r="AD31" s="109" t="s">
        <v>342</v>
      </c>
      <c r="AE31" s="125" t="s">
        <v>343</v>
      </c>
    </row>
    <row r="32" spans="1:33">
      <c r="A32" s="72" t="s">
        <v>279</v>
      </c>
      <c r="B32" s="72" t="s">
        <v>28</v>
      </c>
      <c r="C32" s="139" t="s">
        <v>72</v>
      </c>
      <c r="D32" s="73" t="s">
        <v>364</v>
      </c>
      <c r="E32" s="70" t="s">
        <v>127</v>
      </c>
      <c r="F32" s="70">
        <v>9</v>
      </c>
      <c r="G32" s="74">
        <v>46359</v>
      </c>
      <c r="H32" s="72" t="s">
        <v>3</v>
      </c>
      <c r="I32" s="72">
        <v>26</v>
      </c>
      <c r="J32" s="72">
        <v>75</v>
      </c>
      <c r="K32" s="75">
        <v>1141.8</v>
      </c>
      <c r="L32" s="75">
        <f>41.44*F32</f>
        <v>372.96</v>
      </c>
      <c r="M32" s="75">
        <f>ROUND((S32+T32+N32+O32)*2/12,2)</f>
        <v>623.41</v>
      </c>
      <c r="N32" s="75">
        <v>831.34</v>
      </c>
      <c r="O32" s="75">
        <f>24.06*J32</f>
        <v>1804.5</v>
      </c>
      <c r="P32" s="75">
        <v>166.95</v>
      </c>
      <c r="Q32" s="71"/>
      <c r="R32" s="71"/>
      <c r="S32" s="75">
        <v>832.74</v>
      </c>
      <c r="T32" s="71">
        <f>(30.21*F32)</f>
        <v>271.89</v>
      </c>
      <c r="U32" s="80">
        <v>12</v>
      </c>
      <c r="V32" s="71">
        <f t="shared" ref="V32:V33" si="16">ROUND(K32*U32,2)</f>
        <v>13701.6</v>
      </c>
      <c r="W32" s="71">
        <f t="shared" ref="W32:W33" si="17">ROUND(L32*U32,2)</f>
        <v>4475.5200000000004</v>
      </c>
      <c r="X32" s="71">
        <f t="shared" ref="X32:X33" si="18">ROUND(M32*U32,2)</f>
        <v>7480.92</v>
      </c>
      <c r="Y32" s="71">
        <f>ROUND(N32*U32,2)</f>
        <v>9976.08</v>
      </c>
      <c r="Z32" s="71">
        <f>ROUND(O32*U32,2)</f>
        <v>21654</v>
      </c>
      <c r="AA32" s="71">
        <f>ROUND(P32*U32,2)</f>
        <v>2003.4</v>
      </c>
      <c r="AB32" s="71">
        <f t="shared" ref="AB32:AB33" si="19">ROUND(Q32*U32,2)</f>
        <v>0</v>
      </c>
      <c r="AC32" s="71">
        <f t="shared" ref="AC32:AC33" si="20">ROUND(R32*U32,2)</f>
        <v>0</v>
      </c>
      <c r="AD32" s="104">
        <f t="shared" ref="AD32:AD33" si="21">V32+W32+X32+Y32+Z32+AA32</f>
        <v>59291.520000000004</v>
      </c>
      <c r="AE32" s="71">
        <f>AD32-W32-543.78</f>
        <v>54272.22</v>
      </c>
    </row>
    <row r="33" spans="1:33">
      <c r="A33" s="72" t="s">
        <v>265</v>
      </c>
      <c r="B33" s="70" t="s">
        <v>5</v>
      </c>
      <c r="C33" s="85" t="s">
        <v>61</v>
      </c>
      <c r="D33" s="73" t="s">
        <v>366</v>
      </c>
      <c r="E33" s="70" t="s">
        <v>0</v>
      </c>
      <c r="F33" s="70">
        <v>8</v>
      </c>
      <c r="G33" s="79">
        <v>46089</v>
      </c>
      <c r="H33" s="70" t="s">
        <v>0</v>
      </c>
      <c r="I33" s="70">
        <v>16</v>
      </c>
      <c r="J33" s="70">
        <v>37</v>
      </c>
      <c r="K33" s="71">
        <v>713.51</v>
      </c>
      <c r="L33" s="71">
        <f>21.36*F33</f>
        <v>170.88</v>
      </c>
      <c r="M33" s="75">
        <f t="shared" ref="M33" si="22">ROUND((S33+T33+N33+O33)*2/12,2)</f>
        <v>363.82</v>
      </c>
      <c r="N33" s="71">
        <v>416.67</v>
      </c>
      <c r="O33" s="75">
        <f t="shared" ref="O33" si="23">24.06*J33</f>
        <v>890.21999999999991</v>
      </c>
      <c r="P33" s="71">
        <v>113.46</v>
      </c>
      <c r="Q33" s="71"/>
      <c r="R33" s="71"/>
      <c r="S33" s="71">
        <v>707.01</v>
      </c>
      <c r="T33" s="71">
        <f>21.13*F33</f>
        <v>169.04</v>
      </c>
      <c r="U33" s="76">
        <v>12</v>
      </c>
      <c r="V33" s="71">
        <f t="shared" si="16"/>
        <v>8562.1200000000008</v>
      </c>
      <c r="W33" s="71">
        <f t="shared" si="17"/>
        <v>2050.56</v>
      </c>
      <c r="X33" s="71">
        <f t="shared" si="18"/>
        <v>4365.84</v>
      </c>
      <c r="Y33" s="71">
        <f t="shared" ref="Y33" si="24">ROUND(N33*U33,2)</f>
        <v>5000.04</v>
      </c>
      <c r="Z33" s="71">
        <f t="shared" ref="Z33" si="25">ROUND(O33*U33,2)</f>
        <v>10682.64</v>
      </c>
      <c r="AA33" s="71">
        <f t="shared" ref="AA33" si="26">ROUND(P33*U33,2)</f>
        <v>1361.52</v>
      </c>
      <c r="AB33" s="71">
        <f t="shared" si="19"/>
        <v>0</v>
      </c>
      <c r="AC33" s="71">
        <f t="shared" si="20"/>
        <v>0</v>
      </c>
      <c r="AD33" s="104">
        <f t="shared" si="21"/>
        <v>32022.720000000001</v>
      </c>
      <c r="AE33" s="71">
        <f>AD33-W33-338.08</f>
        <v>29634.079999999998</v>
      </c>
    </row>
    <row r="34" spans="1:33">
      <c r="A34" s="98"/>
      <c r="B34" s="90"/>
      <c r="C34" s="89"/>
      <c r="D34" s="89"/>
      <c r="E34" s="90"/>
      <c r="F34" s="90"/>
      <c r="G34" s="90"/>
      <c r="H34" s="90"/>
      <c r="I34" s="90"/>
      <c r="J34" s="90"/>
      <c r="K34" s="93"/>
      <c r="L34" s="93"/>
      <c r="M34" s="92"/>
      <c r="N34" s="93"/>
      <c r="O34" s="92"/>
      <c r="P34" s="93"/>
      <c r="Q34" s="93"/>
      <c r="R34" s="93"/>
      <c r="S34" s="93"/>
      <c r="T34" s="93"/>
      <c r="U34" s="88"/>
      <c r="V34" s="93"/>
      <c r="W34" s="93"/>
      <c r="X34" s="93"/>
      <c r="Y34" s="93"/>
      <c r="Z34" s="93"/>
      <c r="AA34" s="93"/>
      <c r="AB34" s="93"/>
      <c r="AC34" s="93"/>
      <c r="AD34" s="105">
        <f>SUM(AD32:AD33)</f>
        <v>91314.240000000005</v>
      </c>
      <c r="AE34" s="105">
        <f>SUM(AE32:AE33)</f>
        <v>83906.3</v>
      </c>
    </row>
    <row r="35" spans="1:33">
      <c r="AE35" s="114"/>
    </row>
    <row r="36" spans="1:33">
      <c r="AE36" s="114"/>
    </row>
    <row r="37" spans="1:33">
      <c r="A37" s="61"/>
      <c r="B37" s="61"/>
      <c r="C37" s="61" t="s">
        <v>214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3"/>
    </row>
    <row r="38" spans="1:33" ht="26.25">
      <c r="A38" s="60" t="s">
        <v>243</v>
      </c>
      <c r="B38" s="60" t="s">
        <v>51</v>
      </c>
      <c r="C38" s="63" t="s">
        <v>90</v>
      </c>
      <c r="D38" s="60" t="s">
        <v>360</v>
      </c>
      <c r="E38" s="64" t="s">
        <v>124</v>
      </c>
      <c r="F38" s="64" t="s">
        <v>176</v>
      </c>
      <c r="G38" s="64" t="s">
        <v>125</v>
      </c>
      <c r="H38" s="60" t="s">
        <v>32</v>
      </c>
      <c r="I38" s="60" t="s">
        <v>167</v>
      </c>
      <c r="J38" s="60" t="s">
        <v>168</v>
      </c>
      <c r="K38" s="65" t="s">
        <v>92</v>
      </c>
      <c r="L38" s="65" t="s">
        <v>93</v>
      </c>
      <c r="M38" s="65" t="s">
        <v>94</v>
      </c>
      <c r="N38" s="65" t="s">
        <v>95</v>
      </c>
      <c r="O38" s="65" t="s">
        <v>96</v>
      </c>
      <c r="P38" s="65" t="s">
        <v>97</v>
      </c>
      <c r="Q38" s="65" t="s">
        <v>98</v>
      </c>
      <c r="R38" s="65" t="s">
        <v>99</v>
      </c>
      <c r="S38" s="65" t="s">
        <v>100</v>
      </c>
      <c r="T38" s="65" t="s">
        <v>101</v>
      </c>
      <c r="U38" s="60" t="s">
        <v>102</v>
      </c>
      <c r="V38" s="65" t="s">
        <v>103</v>
      </c>
      <c r="W38" s="65" t="s">
        <v>104</v>
      </c>
      <c r="X38" s="65" t="s">
        <v>105</v>
      </c>
      <c r="Y38" s="65" t="s">
        <v>106</v>
      </c>
      <c r="Z38" s="65" t="s">
        <v>107</v>
      </c>
      <c r="AA38" s="65" t="s">
        <v>108</v>
      </c>
      <c r="AB38" s="65" t="s">
        <v>109</v>
      </c>
      <c r="AC38" s="65" t="s">
        <v>110</v>
      </c>
      <c r="AD38" s="110" t="s">
        <v>342</v>
      </c>
      <c r="AE38" s="127" t="s">
        <v>343</v>
      </c>
    </row>
    <row r="39" spans="1:33">
      <c r="A39" s="16" t="s">
        <v>278</v>
      </c>
      <c r="B39" s="16" t="s">
        <v>27</v>
      </c>
      <c r="C39" s="144" t="s">
        <v>71</v>
      </c>
      <c r="D39" s="6" t="s">
        <v>363</v>
      </c>
      <c r="E39" s="7" t="s">
        <v>127</v>
      </c>
      <c r="F39" s="70">
        <v>8</v>
      </c>
      <c r="G39" s="17">
        <v>45228</v>
      </c>
      <c r="H39" s="16" t="s">
        <v>11</v>
      </c>
      <c r="I39" s="16">
        <v>26</v>
      </c>
      <c r="J39" s="16">
        <v>75</v>
      </c>
      <c r="K39" s="4">
        <v>1320.49</v>
      </c>
      <c r="L39" s="4">
        <f>50.83*F39</f>
        <v>406.64</v>
      </c>
      <c r="M39" s="4">
        <f>(814.87+254.24+831.34+1804.5)/12*2</f>
        <v>617.49166666666667</v>
      </c>
      <c r="N39" s="4">
        <v>831.34</v>
      </c>
      <c r="O39" s="4">
        <f>24.06*J39</f>
        <v>1804.5</v>
      </c>
      <c r="P39" s="4">
        <v>204.29</v>
      </c>
      <c r="Q39" s="5"/>
      <c r="R39" s="5"/>
      <c r="S39" s="4">
        <v>814.87</v>
      </c>
      <c r="T39" s="5">
        <f>(31.78*F39)</f>
        <v>254.24</v>
      </c>
      <c r="U39" s="8">
        <v>12</v>
      </c>
      <c r="V39" s="5">
        <f t="shared" ref="V39:V68" si="27">ROUND(K39*U39,2)</f>
        <v>15845.88</v>
      </c>
      <c r="W39" s="71">
        <f t="shared" ref="W39:W43" si="28">ROUND(L39*U39,2)</f>
        <v>4879.68</v>
      </c>
      <c r="X39" s="5">
        <f t="shared" ref="X39:X68" si="29">ROUND(M39*U39,2)</f>
        <v>7409.9</v>
      </c>
      <c r="Y39" s="5">
        <f t="shared" ref="Y39:Y68" si="30">ROUND(N39*U39,2)</f>
        <v>9976.08</v>
      </c>
      <c r="Z39" s="5">
        <f t="shared" ref="Z39:Z68" si="31">ROUND(O39*U39,2)</f>
        <v>21654</v>
      </c>
      <c r="AA39" s="5">
        <f t="shared" ref="AA39:AA68" si="32">ROUND(P39*U39,2)</f>
        <v>2451.48</v>
      </c>
      <c r="AB39" s="5">
        <f t="shared" ref="AB39:AB68" si="33">ROUND(Q39*U39,2)</f>
        <v>0</v>
      </c>
      <c r="AC39" s="5">
        <f t="shared" ref="AC39:AC68" si="34">ROUND(R39*U39,2)</f>
        <v>0</v>
      </c>
      <c r="AD39" s="101">
        <f t="shared" ref="AD39:AD68" si="35">V39+W39+X39+Y39+Z39+AA39</f>
        <v>62217.020000000004</v>
      </c>
      <c r="AE39" s="5">
        <f>AD39-W39-508.48</f>
        <v>56828.86</v>
      </c>
    </row>
    <row r="40" spans="1:33">
      <c r="A40" s="16" t="s">
        <v>256</v>
      </c>
      <c r="B40" s="16" t="s">
        <v>12</v>
      </c>
      <c r="C40" s="144" t="s">
        <v>59</v>
      </c>
      <c r="D40" s="6" t="s">
        <v>363</v>
      </c>
      <c r="E40" s="7" t="s">
        <v>11</v>
      </c>
      <c r="F40" s="70">
        <v>8</v>
      </c>
      <c r="G40" s="17">
        <v>45210</v>
      </c>
      <c r="H40" s="16" t="s">
        <v>11</v>
      </c>
      <c r="I40" s="16">
        <v>24</v>
      </c>
      <c r="J40" s="16">
        <v>63</v>
      </c>
      <c r="K40" s="4">
        <v>1320.49</v>
      </c>
      <c r="L40" s="4">
        <f>50.83*F40</f>
        <v>406.64</v>
      </c>
      <c r="M40" s="4">
        <f>(N40+O40+S40+T40)/12*2</f>
        <v>546.49166666666667</v>
      </c>
      <c r="N40" s="4">
        <v>694.06</v>
      </c>
      <c r="O40" s="4">
        <f t="shared" ref="O40:O68" si="36">24.06*J40</f>
        <v>1515.78</v>
      </c>
      <c r="P40" s="4">
        <v>204.29</v>
      </c>
      <c r="Q40" s="5"/>
      <c r="R40" s="5"/>
      <c r="S40" s="4">
        <v>814.87</v>
      </c>
      <c r="T40" s="5">
        <f>(31.78*F40)</f>
        <v>254.24</v>
      </c>
      <c r="U40" s="8">
        <v>12</v>
      </c>
      <c r="V40" s="5">
        <f t="shared" si="27"/>
        <v>15845.88</v>
      </c>
      <c r="W40" s="5">
        <f t="shared" si="28"/>
        <v>4879.68</v>
      </c>
      <c r="X40" s="5">
        <f t="shared" si="29"/>
        <v>6557.9</v>
      </c>
      <c r="Y40" s="5">
        <f t="shared" si="30"/>
        <v>8328.7199999999993</v>
      </c>
      <c r="Z40" s="5">
        <f t="shared" si="31"/>
        <v>18189.36</v>
      </c>
      <c r="AA40" s="5">
        <f t="shared" si="32"/>
        <v>2451.48</v>
      </c>
      <c r="AB40" s="5">
        <f t="shared" si="33"/>
        <v>0</v>
      </c>
      <c r="AC40" s="5">
        <f t="shared" si="34"/>
        <v>0</v>
      </c>
      <c r="AD40" s="101">
        <f t="shared" si="35"/>
        <v>56253.020000000004</v>
      </c>
      <c r="AE40" s="5">
        <f>AD40-W40-508.48</f>
        <v>50864.86</v>
      </c>
    </row>
    <row r="41" spans="1:33">
      <c r="A41" s="72" t="s">
        <v>259</v>
      </c>
      <c r="B41" s="72" t="s">
        <v>4</v>
      </c>
      <c r="C41" s="139" t="s">
        <v>70</v>
      </c>
      <c r="D41" s="73" t="s">
        <v>364</v>
      </c>
      <c r="E41" s="70" t="s">
        <v>3</v>
      </c>
      <c r="F41" s="70">
        <v>7</v>
      </c>
      <c r="G41" s="74">
        <v>45627</v>
      </c>
      <c r="H41" s="72" t="s">
        <v>3</v>
      </c>
      <c r="I41" s="72">
        <v>22</v>
      </c>
      <c r="J41" s="72">
        <v>54</v>
      </c>
      <c r="K41" s="75">
        <v>1141.8</v>
      </c>
      <c r="L41" s="75">
        <f>41.44*F41</f>
        <v>290.08</v>
      </c>
      <c r="M41" s="75">
        <f>((S41+T41+N41+O41)/12)+(N41+O41+S41+241.68)/12</f>
        <v>494.26749999999993</v>
      </c>
      <c r="N41" s="75">
        <v>607.04999999999995</v>
      </c>
      <c r="O41" s="4">
        <f t="shared" si="36"/>
        <v>1299.24</v>
      </c>
      <c r="P41" s="75">
        <v>166.95</v>
      </c>
      <c r="Q41" s="71"/>
      <c r="R41" s="75">
        <v>315.08999999999997</v>
      </c>
      <c r="S41" s="75">
        <v>832.74</v>
      </c>
      <c r="T41" s="75">
        <f>(30.21*F41)</f>
        <v>211.47</v>
      </c>
      <c r="U41" s="76">
        <v>12</v>
      </c>
      <c r="V41" s="71">
        <f t="shared" si="27"/>
        <v>13701.6</v>
      </c>
      <c r="W41" s="71">
        <f>ROUND(L41*U41,2)+41.44</f>
        <v>3522.4</v>
      </c>
      <c r="X41" s="71">
        <f t="shared" si="29"/>
        <v>5931.21</v>
      </c>
      <c r="Y41" s="71">
        <f t="shared" si="30"/>
        <v>7284.6</v>
      </c>
      <c r="Z41" s="71">
        <f t="shared" si="31"/>
        <v>15590.88</v>
      </c>
      <c r="AA41" s="71">
        <f t="shared" si="32"/>
        <v>2003.4</v>
      </c>
      <c r="AB41" s="71">
        <f t="shared" si="33"/>
        <v>0</v>
      </c>
      <c r="AC41" s="71">
        <f t="shared" si="34"/>
        <v>3781.08</v>
      </c>
      <c r="AD41" s="104">
        <f t="shared" si="35"/>
        <v>48034.09</v>
      </c>
      <c r="AE41" s="5">
        <f>AD41-W41-453.15</f>
        <v>44058.539999999994</v>
      </c>
    </row>
    <row r="42" spans="1:33">
      <c r="A42" s="72" t="s">
        <v>258</v>
      </c>
      <c r="B42" s="72" t="s">
        <v>26</v>
      </c>
      <c r="C42" s="139" t="s">
        <v>188</v>
      </c>
      <c r="D42" s="73" t="s">
        <v>364</v>
      </c>
      <c r="E42" s="70" t="s">
        <v>3</v>
      </c>
      <c r="F42" s="70">
        <v>7</v>
      </c>
      <c r="G42" s="74">
        <v>45540</v>
      </c>
      <c r="H42" s="72" t="s">
        <v>3</v>
      </c>
      <c r="I42" s="72">
        <v>22</v>
      </c>
      <c r="J42" s="72">
        <v>54</v>
      </c>
      <c r="K42" s="75">
        <v>1141.8</v>
      </c>
      <c r="L42" s="75">
        <f>(21.36*2)+(41.44*5)</f>
        <v>249.92</v>
      </c>
      <c r="M42" s="75">
        <f>((S42+T42+N42+O42)/12)+(N42+O42+S42+223.52)/12</f>
        <v>491.24083333333328</v>
      </c>
      <c r="N42" s="75">
        <v>607.04999999999995</v>
      </c>
      <c r="O42" s="4">
        <f t="shared" si="36"/>
        <v>1299.24</v>
      </c>
      <c r="P42" s="75">
        <v>166.95</v>
      </c>
      <c r="Q42" s="71"/>
      <c r="R42" s="75"/>
      <c r="S42" s="75">
        <v>832.74</v>
      </c>
      <c r="T42" s="75">
        <f>(21.13*2)+(30.21*5)</f>
        <v>193.31</v>
      </c>
      <c r="U42" s="76">
        <v>12</v>
      </c>
      <c r="V42" s="71">
        <f t="shared" si="27"/>
        <v>13701.6</v>
      </c>
      <c r="W42" s="71">
        <f>ROUND(L42*U42,2)+41.44*3</f>
        <v>3123.36</v>
      </c>
      <c r="X42" s="71">
        <f t="shared" si="29"/>
        <v>5894.89</v>
      </c>
      <c r="Y42" s="71">
        <f t="shared" si="30"/>
        <v>7284.6</v>
      </c>
      <c r="Z42" s="71">
        <f t="shared" si="31"/>
        <v>15590.88</v>
      </c>
      <c r="AA42" s="71">
        <f t="shared" si="32"/>
        <v>2003.4</v>
      </c>
      <c r="AB42" s="71">
        <f t="shared" si="33"/>
        <v>0</v>
      </c>
      <c r="AC42" s="71">
        <f t="shared" si="34"/>
        <v>0</v>
      </c>
      <c r="AD42" s="104">
        <f t="shared" si="35"/>
        <v>47598.729999999996</v>
      </c>
      <c r="AE42" s="5">
        <f>AD42-W42-416.83</f>
        <v>44058.539999999994</v>
      </c>
    </row>
    <row r="43" spans="1:33">
      <c r="A43" s="72" t="s">
        <v>269</v>
      </c>
      <c r="B43" s="72" t="s">
        <v>22</v>
      </c>
      <c r="C43" s="139" t="s">
        <v>63</v>
      </c>
      <c r="D43" s="73" t="s">
        <v>358</v>
      </c>
      <c r="E43" s="70" t="s">
        <v>7</v>
      </c>
      <c r="F43" s="70">
        <v>8</v>
      </c>
      <c r="G43" s="74">
        <v>44994</v>
      </c>
      <c r="H43" s="72" t="s">
        <v>7</v>
      </c>
      <c r="I43" s="72">
        <v>18</v>
      </c>
      <c r="J43" s="72">
        <v>37</v>
      </c>
      <c r="K43" s="75">
        <v>857.3</v>
      </c>
      <c r="L43" s="75">
        <f>31.38*F43</f>
        <v>251.04</v>
      </c>
      <c r="M43" s="75">
        <f t="shared" ref="M43:M66" si="37">ROUND((S43+T43+N43+O43)*2/12,2)</f>
        <v>386.32</v>
      </c>
      <c r="N43" s="75">
        <v>470.09</v>
      </c>
      <c r="O43" s="4">
        <f t="shared" si="36"/>
        <v>890.21999999999991</v>
      </c>
      <c r="P43" s="75">
        <v>137.65</v>
      </c>
      <c r="Q43" s="71"/>
      <c r="R43" s="75">
        <v>433.64</v>
      </c>
      <c r="S43" s="75">
        <v>740.97</v>
      </c>
      <c r="T43" s="75">
        <f>F43*27.08</f>
        <v>216.64</v>
      </c>
      <c r="U43" s="76">
        <v>12</v>
      </c>
      <c r="V43" s="71">
        <f t="shared" si="27"/>
        <v>10287.6</v>
      </c>
      <c r="W43" s="71">
        <f t="shared" si="28"/>
        <v>3012.48</v>
      </c>
      <c r="X43" s="71">
        <f t="shared" si="29"/>
        <v>4635.84</v>
      </c>
      <c r="Y43" s="71">
        <f t="shared" si="30"/>
        <v>5641.08</v>
      </c>
      <c r="Z43" s="71">
        <f t="shared" si="31"/>
        <v>10682.64</v>
      </c>
      <c r="AA43" s="71">
        <f t="shared" si="32"/>
        <v>1651.8</v>
      </c>
      <c r="AB43" s="71">
        <f t="shared" si="33"/>
        <v>0</v>
      </c>
      <c r="AC43" s="71">
        <f t="shared" si="34"/>
        <v>5203.68</v>
      </c>
      <c r="AD43" s="104">
        <f t="shared" si="35"/>
        <v>35911.440000000002</v>
      </c>
      <c r="AE43" s="5">
        <f>AD43-W43-433.28</f>
        <v>32465.68</v>
      </c>
    </row>
    <row r="44" spans="1:33">
      <c r="A44" s="72" t="s">
        <v>274</v>
      </c>
      <c r="B44" s="84" t="s">
        <v>16</v>
      </c>
      <c r="C44" s="135" t="s">
        <v>67</v>
      </c>
      <c r="D44" s="85" t="s">
        <v>112</v>
      </c>
      <c r="E44" s="70" t="s">
        <v>0</v>
      </c>
      <c r="F44" s="70">
        <v>7</v>
      </c>
      <c r="G44" s="74">
        <v>45544</v>
      </c>
      <c r="H44" s="72" t="s">
        <v>0</v>
      </c>
      <c r="I44" s="72">
        <v>16</v>
      </c>
      <c r="J44" s="72">
        <v>38</v>
      </c>
      <c r="K44" s="75">
        <v>713.51</v>
      </c>
      <c r="L44" s="75">
        <f>21.36*F44</f>
        <v>149.51999999999998</v>
      </c>
      <c r="M44" s="75">
        <f>((S44+T44+N44+O44)/12)+((N44+O44+S44+169.04)/12)</f>
        <v>366.07249999999999</v>
      </c>
      <c r="N44" s="75">
        <v>416.67</v>
      </c>
      <c r="O44" s="4">
        <f t="shared" si="36"/>
        <v>914.28</v>
      </c>
      <c r="P44" s="75">
        <v>113.46</v>
      </c>
      <c r="Q44" s="71"/>
      <c r="R44" s="75"/>
      <c r="S44" s="75">
        <v>707.01</v>
      </c>
      <c r="T44" s="75">
        <f>(21.13*F44)</f>
        <v>147.91</v>
      </c>
      <c r="U44" s="76">
        <v>12</v>
      </c>
      <c r="V44" s="71">
        <f t="shared" si="27"/>
        <v>8562.1200000000008</v>
      </c>
      <c r="W44" s="71">
        <f>ROUND(L44*U44,2)+21.36*3</f>
        <v>1858.32</v>
      </c>
      <c r="X44" s="71">
        <f t="shared" si="29"/>
        <v>4392.87</v>
      </c>
      <c r="Y44" s="71">
        <f t="shared" si="30"/>
        <v>5000.04</v>
      </c>
      <c r="Z44" s="71">
        <f t="shared" si="31"/>
        <v>10971.36</v>
      </c>
      <c r="AA44" s="71">
        <f t="shared" si="32"/>
        <v>1361.52</v>
      </c>
      <c r="AB44" s="71">
        <f t="shared" si="33"/>
        <v>0</v>
      </c>
      <c r="AC44" s="71">
        <f t="shared" si="34"/>
        <v>0</v>
      </c>
      <c r="AD44" s="104">
        <f t="shared" si="35"/>
        <v>32146.230000000003</v>
      </c>
      <c r="AE44" s="5">
        <f>AD44-W44-316.95</f>
        <v>29970.960000000003</v>
      </c>
    </row>
    <row r="45" spans="1:33">
      <c r="A45" s="72" t="s">
        <v>283</v>
      </c>
      <c r="B45" s="72" t="s">
        <v>135</v>
      </c>
      <c r="C45" s="135" t="s">
        <v>75</v>
      </c>
      <c r="D45" s="73" t="s">
        <v>366</v>
      </c>
      <c r="E45" s="70" t="s">
        <v>0</v>
      </c>
      <c r="F45" s="70">
        <v>6</v>
      </c>
      <c r="G45" s="74">
        <v>45433</v>
      </c>
      <c r="H45" s="72" t="s">
        <v>0</v>
      </c>
      <c r="I45" s="72">
        <v>16</v>
      </c>
      <c r="J45" s="72">
        <v>38</v>
      </c>
      <c r="K45" s="75">
        <v>713.51</v>
      </c>
      <c r="L45" s="75">
        <f>21.36*F45</f>
        <v>128.16</v>
      </c>
      <c r="M45" s="75">
        <f>ROUND((S45+N45+O45+T45)*2/12,2)</f>
        <v>364.31</v>
      </c>
      <c r="N45" s="75">
        <v>416.67</v>
      </c>
      <c r="O45" s="4">
        <f t="shared" si="36"/>
        <v>914.28</v>
      </c>
      <c r="P45" s="75">
        <v>113.46</v>
      </c>
      <c r="Q45" s="71"/>
      <c r="R45" s="75"/>
      <c r="S45" s="75">
        <v>707.01</v>
      </c>
      <c r="T45" s="75">
        <f>(21.13*F45)+21.13</f>
        <v>147.91</v>
      </c>
      <c r="U45" s="76">
        <v>12</v>
      </c>
      <c r="V45" s="71">
        <f t="shared" si="27"/>
        <v>8562.1200000000008</v>
      </c>
      <c r="W45" s="71">
        <f>ROUND(L45*U45,2)+21.36*7</f>
        <v>1687.44</v>
      </c>
      <c r="X45" s="71">
        <f t="shared" si="29"/>
        <v>4371.72</v>
      </c>
      <c r="Y45" s="71">
        <f t="shared" si="30"/>
        <v>5000.04</v>
      </c>
      <c r="Z45" s="71">
        <f t="shared" si="31"/>
        <v>10971.36</v>
      </c>
      <c r="AA45" s="71">
        <f t="shared" si="32"/>
        <v>1361.52</v>
      </c>
      <c r="AB45" s="71">
        <f t="shared" si="33"/>
        <v>0</v>
      </c>
      <c r="AC45" s="71">
        <f t="shared" si="34"/>
        <v>0</v>
      </c>
      <c r="AD45" s="104">
        <f t="shared" si="35"/>
        <v>31954.200000000004</v>
      </c>
      <c r="AE45" s="5">
        <f>AD45-W45-274.69</f>
        <v>29992.070000000007</v>
      </c>
    </row>
    <row r="46" spans="1:33">
      <c r="A46" s="72" t="s">
        <v>266</v>
      </c>
      <c r="B46" s="72" t="s">
        <v>136</v>
      </c>
      <c r="C46" s="135" t="s">
        <v>76</v>
      </c>
      <c r="D46" s="73" t="s">
        <v>366</v>
      </c>
      <c r="E46" s="70" t="s">
        <v>0</v>
      </c>
      <c r="F46" s="70">
        <v>7</v>
      </c>
      <c r="G46" s="74">
        <v>45249</v>
      </c>
      <c r="H46" s="72" t="s">
        <v>0</v>
      </c>
      <c r="I46" s="72">
        <v>15</v>
      </c>
      <c r="J46" s="72">
        <v>37</v>
      </c>
      <c r="K46" s="75">
        <v>713.51</v>
      </c>
      <c r="L46" s="75">
        <f>21.36*F46</f>
        <v>149.51999999999998</v>
      </c>
      <c r="M46" s="75">
        <f t="shared" si="37"/>
        <v>355.84</v>
      </c>
      <c r="N46" s="75">
        <v>389.88</v>
      </c>
      <c r="O46" s="4">
        <f t="shared" si="36"/>
        <v>890.21999999999991</v>
      </c>
      <c r="P46" s="75">
        <v>113.46</v>
      </c>
      <c r="Q46" s="71"/>
      <c r="R46" s="75"/>
      <c r="S46" s="75">
        <v>707.01</v>
      </c>
      <c r="T46" s="75">
        <f t="shared" ref="T46:T51" si="38">(21.13*F46)</f>
        <v>147.91</v>
      </c>
      <c r="U46" s="76">
        <v>12</v>
      </c>
      <c r="V46" s="71">
        <f t="shared" si="27"/>
        <v>8562.1200000000008</v>
      </c>
      <c r="W46" s="71">
        <f>ROUND(L46*U46,2)</f>
        <v>1794.24</v>
      </c>
      <c r="X46" s="71">
        <f t="shared" si="29"/>
        <v>4270.08</v>
      </c>
      <c r="Y46" s="71">
        <f t="shared" si="30"/>
        <v>4678.5600000000004</v>
      </c>
      <c r="Z46" s="71">
        <f t="shared" si="31"/>
        <v>10682.64</v>
      </c>
      <c r="AA46" s="71">
        <f t="shared" si="32"/>
        <v>1361.52</v>
      </c>
      <c r="AB46" s="71">
        <f t="shared" si="33"/>
        <v>0</v>
      </c>
      <c r="AC46" s="71">
        <f t="shared" si="34"/>
        <v>0</v>
      </c>
      <c r="AD46" s="104">
        <f t="shared" si="35"/>
        <v>31349.16</v>
      </c>
      <c r="AE46" s="5">
        <f t="shared" ref="AE46:AE51" si="39">AD46-W46-295.82</f>
        <v>29259.1</v>
      </c>
      <c r="AG46" s="100"/>
    </row>
    <row r="47" spans="1:33">
      <c r="A47" s="72" t="s">
        <v>267</v>
      </c>
      <c r="B47" s="72" t="s">
        <v>29</v>
      </c>
      <c r="C47" s="135" t="s">
        <v>83</v>
      </c>
      <c r="D47" s="73" t="s">
        <v>366</v>
      </c>
      <c r="E47" s="70" t="s">
        <v>0</v>
      </c>
      <c r="F47" s="70">
        <v>7</v>
      </c>
      <c r="G47" s="74">
        <v>45206</v>
      </c>
      <c r="H47" s="72" t="s">
        <v>0</v>
      </c>
      <c r="I47" s="72">
        <v>15</v>
      </c>
      <c r="J47" s="72">
        <v>37</v>
      </c>
      <c r="K47" s="75">
        <v>713.51</v>
      </c>
      <c r="L47" s="75">
        <f>(21.36*F47)</f>
        <v>149.51999999999998</v>
      </c>
      <c r="M47" s="75">
        <f t="shared" si="37"/>
        <v>355.84</v>
      </c>
      <c r="N47" s="75">
        <v>389.88</v>
      </c>
      <c r="O47" s="4">
        <f t="shared" si="36"/>
        <v>890.21999999999991</v>
      </c>
      <c r="P47" s="75">
        <v>113.46</v>
      </c>
      <c r="Q47" s="71"/>
      <c r="R47" s="75"/>
      <c r="S47" s="75">
        <v>707.01</v>
      </c>
      <c r="T47" s="75">
        <f t="shared" si="38"/>
        <v>147.91</v>
      </c>
      <c r="U47" s="76">
        <v>12</v>
      </c>
      <c r="V47" s="71">
        <f t="shared" si="27"/>
        <v>8562.1200000000008</v>
      </c>
      <c r="W47" s="71">
        <f>ROUND(L47*U47,2)</f>
        <v>1794.24</v>
      </c>
      <c r="X47" s="71">
        <f t="shared" si="29"/>
        <v>4270.08</v>
      </c>
      <c r="Y47" s="71">
        <f t="shared" si="30"/>
        <v>4678.5600000000004</v>
      </c>
      <c r="Z47" s="71">
        <f t="shared" si="31"/>
        <v>10682.64</v>
      </c>
      <c r="AA47" s="71">
        <f t="shared" si="32"/>
        <v>1361.52</v>
      </c>
      <c r="AB47" s="71">
        <f t="shared" si="33"/>
        <v>0</v>
      </c>
      <c r="AC47" s="71">
        <f t="shared" si="34"/>
        <v>0</v>
      </c>
      <c r="AD47" s="104">
        <f t="shared" si="35"/>
        <v>31349.16</v>
      </c>
      <c r="AE47" s="5">
        <f t="shared" si="39"/>
        <v>29259.1</v>
      </c>
      <c r="AG47" s="100"/>
    </row>
    <row r="48" spans="1:33">
      <c r="A48" s="72" t="s">
        <v>249</v>
      </c>
      <c r="B48" s="72" t="s">
        <v>1</v>
      </c>
      <c r="C48" s="135" t="s">
        <v>57</v>
      </c>
      <c r="D48" s="73" t="s">
        <v>366</v>
      </c>
      <c r="E48" s="70" t="s">
        <v>0</v>
      </c>
      <c r="F48" s="70">
        <v>7</v>
      </c>
      <c r="G48" s="74">
        <v>44994</v>
      </c>
      <c r="H48" s="72" t="s">
        <v>0</v>
      </c>
      <c r="I48" s="72">
        <v>15</v>
      </c>
      <c r="J48" s="72">
        <v>37</v>
      </c>
      <c r="K48" s="75">
        <v>713.51</v>
      </c>
      <c r="L48" s="75">
        <f>(21.36*F48)</f>
        <v>149.51999999999998</v>
      </c>
      <c r="M48" s="75">
        <f t="shared" si="37"/>
        <v>355.84</v>
      </c>
      <c r="N48" s="75">
        <v>389.88</v>
      </c>
      <c r="O48" s="4">
        <f t="shared" si="36"/>
        <v>890.21999999999991</v>
      </c>
      <c r="P48" s="75">
        <v>113.46</v>
      </c>
      <c r="Q48" s="71"/>
      <c r="R48" s="75"/>
      <c r="S48" s="75">
        <v>707.01</v>
      </c>
      <c r="T48" s="75">
        <f t="shared" si="38"/>
        <v>147.91</v>
      </c>
      <c r="U48" s="76">
        <v>12</v>
      </c>
      <c r="V48" s="71">
        <f t="shared" si="27"/>
        <v>8562.1200000000008</v>
      </c>
      <c r="W48" s="71">
        <f>ROUND(L48*U48,2)</f>
        <v>1794.24</v>
      </c>
      <c r="X48" s="71">
        <f t="shared" si="29"/>
        <v>4270.08</v>
      </c>
      <c r="Y48" s="71">
        <f t="shared" si="30"/>
        <v>4678.5600000000004</v>
      </c>
      <c r="Z48" s="71">
        <f t="shared" si="31"/>
        <v>10682.64</v>
      </c>
      <c r="AA48" s="71">
        <f t="shared" si="32"/>
        <v>1361.52</v>
      </c>
      <c r="AB48" s="71">
        <f t="shared" si="33"/>
        <v>0</v>
      </c>
      <c r="AC48" s="71">
        <f t="shared" si="34"/>
        <v>0</v>
      </c>
      <c r="AD48" s="104">
        <f t="shared" si="35"/>
        <v>31349.16</v>
      </c>
      <c r="AE48" s="5">
        <f t="shared" si="39"/>
        <v>29259.1</v>
      </c>
      <c r="AG48" s="100"/>
    </row>
    <row r="49" spans="1:33">
      <c r="A49" s="72" t="s">
        <v>291</v>
      </c>
      <c r="B49" s="72" t="s">
        <v>2</v>
      </c>
      <c r="C49" s="135" t="s">
        <v>84</v>
      </c>
      <c r="D49" s="73" t="s">
        <v>366</v>
      </c>
      <c r="E49" s="70" t="s">
        <v>0</v>
      </c>
      <c r="F49" s="70">
        <v>7</v>
      </c>
      <c r="G49" s="74">
        <v>45259</v>
      </c>
      <c r="H49" s="72" t="s">
        <v>0</v>
      </c>
      <c r="I49" s="72">
        <v>15</v>
      </c>
      <c r="J49" s="72">
        <v>37</v>
      </c>
      <c r="K49" s="75">
        <v>713.51</v>
      </c>
      <c r="L49" s="75">
        <f>(21.36*F49)</f>
        <v>149.51999999999998</v>
      </c>
      <c r="M49" s="75">
        <f t="shared" si="37"/>
        <v>355.84</v>
      </c>
      <c r="N49" s="75">
        <v>389.88</v>
      </c>
      <c r="O49" s="4">
        <f t="shared" si="36"/>
        <v>890.21999999999991</v>
      </c>
      <c r="P49" s="75">
        <v>113.46</v>
      </c>
      <c r="Q49" s="71"/>
      <c r="R49" s="75"/>
      <c r="S49" s="75">
        <v>707.01</v>
      </c>
      <c r="T49" s="75">
        <f t="shared" si="38"/>
        <v>147.91</v>
      </c>
      <c r="U49" s="76">
        <v>12</v>
      </c>
      <c r="V49" s="71">
        <f t="shared" si="27"/>
        <v>8562.1200000000008</v>
      </c>
      <c r="W49" s="71">
        <f t="shared" ref="W49:W57" si="40">ROUND(L49*U49,2)</f>
        <v>1794.24</v>
      </c>
      <c r="X49" s="71">
        <f t="shared" si="29"/>
        <v>4270.08</v>
      </c>
      <c r="Y49" s="71">
        <f t="shared" si="30"/>
        <v>4678.5600000000004</v>
      </c>
      <c r="Z49" s="71">
        <f t="shared" si="31"/>
        <v>10682.64</v>
      </c>
      <c r="AA49" s="71">
        <f t="shared" si="32"/>
        <v>1361.52</v>
      </c>
      <c r="AB49" s="71">
        <f t="shared" si="33"/>
        <v>0</v>
      </c>
      <c r="AC49" s="71">
        <f t="shared" si="34"/>
        <v>0</v>
      </c>
      <c r="AD49" s="104">
        <f t="shared" si="35"/>
        <v>31349.16</v>
      </c>
      <c r="AE49" s="5">
        <f t="shared" si="39"/>
        <v>29259.1</v>
      </c>
      <c r="AG49" s="100"/>
    </row>
    <row r="50" spans="1:33">
      <c r="A50" s="72" t="s">
        <v>292</v>
      </c>
      <c r="B50" s="72" t="s">
        <v>35</v>
      </c>
      <c r="C50" s="135" t="s">
        <v>85</v>
      </c>
      <c r="D50" s="73" t="s">
        <v>366</v>
      </c>
      <c r="E50" s="70" t="s">
        <v>0</v>
      </c>
      <c r="F50" s="70">
        <v>7</v>
      </c>
      <c r="G50" s="74">
        <v>45249</v>
      </c>
      <c r="H50" s="72" t="s">
        <v>0</v>
      </c>
      <c r="I50" s="72">
        <v>15</v>
      </c>
      <c r="J50" s="72">
        <v>37</v>
      </c>
      <c r="K50" s="75">
        <v>713.51</v>
      </c>
      <c r="L50" s="75">
        <f>(21.36*F50)</f>
        <v>149.51999999999998</v>
      </c>
      <c r="M50" s="75">
        <f t="shared" si="37"/>
        <v>355.84</v>
      </c>
      <c r="N50" s="75">
        <v>389.88</v>
      </c>
      <c r="O50" s="4">
        <f t="shared" si="36"/>
        <v>890.21999999999991</v>
      </c>
      <c r="P50" s="75">
        <v>113.46</v>
      </c>
      <c r="Q50" s="71"/>
      <c r="R50" s="75"/>
      <c r="S50" s="75">
        <v>707.01</v>
      </c>
      <c r="T50" s="75">
        <f t="shared" si="38"/>
        <v>147.91</v>
      </c>
      <c r="U50" s="76">
        <v>12</v>
      </c>
      <c r="V50" s="71">
        <f t="shared" si="27"/>
        <v>8562.1200000000008</v>
      </c>
      <c r="W50" s="71">
        <f t="shared" si="40"/>
        <v>1794.24</v>
      </c>
      <c r="X50" s="71">
        <f t="shared" si="29"/>
        <v>4270.08</v>
      </c>
      <c r="Y50" s="71">
        <f t="shared" si="30"/>
        <v>4678.5600000000004</v>
      </c>
      <c r="Z50" s="71">
        <f t="shared" si="31"/>
        <v>10682.64</v>
      </c>
      <c r="AA50" s="71">
        <f t="shared" si="32"/>
        <v>1361.52</v>
      </c>
      <c r="AB50" s="71">
        <f t="shared" si="33"/>
        <v>0</v>
      </c>
      <c r="AC50" s="71">
        <f t="shared" si="34"/>
        <v>0</v>
      </c>
      <c r="AD50" s="104">
        <f t="shared" si="35"/>
        <v>31349.16</v>
      </c>
      <c r="AE50" s="5">
        <f t="shared" si="39"/>
        <v>29259.1</v>
      </c>
    </row>
    <row r="51" spans="1:33">
      <c r="A51" s="72" t="s">
        <v>282</v>
      </c>
      <c r="B51" s="72" t="s">
        <v>43</v>
      </c>
      <c r="C51" s="135" t="s">
        <v>74</v>
      </c>
      <c r="D51" s="73" t="s">
        <v>366</v>
      </c>
      <c r="E51" s="70" t="s">
        <v>0</v>
      </c>
      <c r="F51" s="70">
        <v>7</v>
      </c>
      <c r="G51" s="74">
        <v>45249</v>
      </c>
      <c r="H51" s="72" t="s">
        <v>0</v>
      </c>
      <c r="I51" s="72">
        <v>15</v>
      </c>
      <c r="J51" s="72">
        <v>37</v>
      </c>
      <c r="K51" s="75">
        <v>713.51</v>
      </c>
      <c r="L51" s="75">
        <f>(21.36*F51)</f>
        <v>149.51999999999998</v>
      </c>
      <c r="M51" s="75">
        <f t="shared" si="37"/>
        <v>355.84</v>
      </c>
      <c r="N51" s="75">
        <v>389.88</v>
      </c>
      <c r="O51" s="4">
        <f t="shared" si="36"/>
        <v>890.21999999999991</v>
      </c>
      <c r="P51" s="75">
        <v>113.46</v>
      </c>
      <c r="Q51" s="71"/>
      <c r="R51" s="75"/>
      <c r="S51" s="75">
        <v>707.01</v>
      </c>
      <c r="T51" s="75">
        <f t="shared" si="38"/>
        <v>147.91</v>
      </c>
      <c r="U51" s="76">
        <v>12</v>
      </c>
      <c r="V51" s="71">
        <f t="shared" si="27"/>
        <v>8562.1200000000008</v>
      </c>
      <c r="W51" s="71">
        <f t="shared" si="40"/>
        <v>1794.24</v>
      </c>
      <c r="X51" s="71">
        <f t="shared" si="29"/>
        <v>4270.08</v>
      </c>
      <c r="Y51" s="71">
        <f t="shared" si="30"/>
        <v>4678.5600000000004</v>
      </c>
      <c r="Z51" s="71">
        <f t="shared" si="31"/>
        <v>10682.64</v>
      </c>
      <c r="AA51" s="71">
        <f t="shared" si="32"/>
        <v>1361.52</v>
      </c>
      <c r="AB51" s="71">
        <f t="shared" si="33"/>
        <v>0</v>
      </c>
      <c r="AC51" s="71">
        <f t="shared" si="34"/>
        <v>0</v>
      </c>
      <c r="AD51" s="104">
        <f t="shared" si="35"/>
        <v>31349.16</v>
      </c>
      <c r="AE51" s="5">
        <f t="shared" si="39"/>
        <v>29259.1</v>
      </c>
    </row>
    <row r="52" spans="1:33">
      <c r="A52" s="72" t="s">
        <v>293</v>
      </c>
      <c r="B52" s="72" t="s">
        <v>138</v>
      </c>
      <c r="C52" s="135" t="s">
        <v>86</v>
      </c>
      <c r="D52" s="73" t="s">
        <v>366</v>
      </c>
      <c r="E52" s="70" t="s">
        <v>0</v>
      </c>
      <c r="F52" s="70">
        <v>7</v>
      </c>
      <c r="G52" s="74">
        <v>45249</v>
      </c>
      <c r="H52" s="72" t="s">
        <v>0</v>
      </c>
      <c r="I52" s="72">
        <v>15</v>
      </c>
      <c r="J52" s="72">
        <v>37</v>
      </c>
      <c r="K52" s="75">
        <v>713.51</v>
      </c>
      <c r="L52" s="75">
        <f t="shared" ref="L52:L62" si="41">(21.36*F52)</f>
        <v>149.51999999999998</v>
      </c>
      <c r="M52" s="75">
        <f t="shared" si="37"/>
        <v>355.84</v>
      </c>
      <c r="N52" s="75">
        <v>389.88</v>
      </c>
      <c r="O52" s="4">
        <f t="shared" si="36"/>
        <v>890.21999999999991</v>
      </c>
      <c r="P52" s="75">
        <v>113.46</v>
      </c>
      <c r="Q52" s="71"/>
      <c r="R52" s="75"/>
      <c r="S52" s="75">
        <v>707.01</v>
      </c>
      <c r="T52" s="75">
        <f t="shared" ref="T52:T62" si="42">(21.13*F52)</f>
        <v>147.91</v>
      </c>
      <c r="U52" s="76">
        <v>12</v>
      </c>
      <c r="V52" s="71">
        <f t="shared" si="27"/>
        <v>8562.1200000000008</v>
      </c>
      <c r="W52" s="71">
        <f t="shared" si="40"/>
        <v>1794.24</v>
      </c>
      <c r="X52" s="71">
        <f t="shared" si="29"/>
        <v>4270.08</v>
      </c>
      <c r="Y52" s="71">
        <f t="shared" si="30"/>
        <v>4678.5600000000004</v>
      </c>
      <c r="Z52" s="71">
        <f t="shared" si="31"/>
        <v>10682.64</v>
      </c>
      <c r="AA52" s="71">
        <f t="shared" si="32"/>
        <v>1361.52</v>
      </c>
      <c r="AB52" s="71">
        <f t="shared" si="33"/>
        <v>0</v>
      </c>
      <c r="AC52" s="71">
        <f t="shared" si="34"/>
        <v>0</v>
      </c>
      <c r="AD52" s="104">
        <f t="shared" si="35"/>
        <v>31349.16</v>
      </c>
      <c r="AE52" s="5">
        <f>AD52-W52-268.06</f>
        <v>29286.859999999997</v>
      </c>
    </row>
    <row r="53" spans="1:33">
      <c r="A53" s="72" t="s">
        <v>287</v>
      </c>
      <c r="B53" s="72" t="s">
        <v>9</v>
      </c>
      <c r="C53" s="135" t="s">
        <v>80</v>
      </c>
      <c r="D53" s="73" t="s">
        <v>366</v>
      </c>
      <c r="E53" s="70" t="s">
        <v>0</v>
      </c>
      <c r="F53" s="70">
        <v>7</v>
      </c>
      <c r="G53" s="74">
        <v>45206</v>
      </c>
      <c r="H53" s="72" t="s">
        <v>0</v>
      </c>
      <c r="I53" s="72">
        <v>15</v>
      </c>
      <c r="J53" s="72">
        <v>37</v>
      </c>
      <c r="K53" s="75">
        <v>713.51</v>
      </c>
      <c r="L53" s="75">
        <f t="shared" si="41"/>
        <v>149.51999999999998</v>
      </c>
      <c r="M53" s="75">
        <f t="shared" si="37"/>
        <v>355.84</v>
      </c>
      <c r="N53" s="75">
        <v>389.88</v>
      </c>
      <c r="O53" s="4">
        <f t="shared" si="36"/>
        <v>890.21999999999991</v>
      </c>
      <c r="P53" s="75">
        <v>113.46</v>
      </c>
      <c r="Q53" s="71"/>
      <c r="R53" s="75"/>
      <c r="S53" s="75">
        <v>707.01</v>
      </c>
      <c r="T53" s="75">
        <f t="shared" si="42"/>
        <v>147.91</v>
      </c>
      <c r="U53" s="76">
        <v>12</v>
      </c>
      <c r="V53" s="71">
        <f t="shared" si="27"/>
        <v>8562.1200000000008</v>
      </c>
      <c r="W53" s="71">
        <f t="shared" si="40"/>
        <v>1794.24</v>
      </c>
      <c r="X53" s="71">
        <f t="shared" si="29"/>
        <v>4270.08</v>
      </c>
      <c r="Y53" s="71">
        <f t="shared" si="30"/>
        <v>4678.5600000000004</v>
      </c>
      <c r="Z53" s="71">
        <f t="shared" si="31"/>
        <v>10682.64</v>
      </c>
      <c r="AA53" s="71">
        <f t="shared" si="32"/>
        <v>1361.52</v>
      </c>
      <c r="AB53" s="71">
        <f t="shared" si="33"/>
        <v>0</v>
      </c>
      <c r="AC53" s="71">
        <f t="shared" si="34"/>
        <v>0</v>
      </c>
      <c r="AD53" s="104">
        <f t="shared" si="35"/>
        <v>31349.16</v>
      </c>
      <c r="AE53" s="5">
        <f>AD53-W53-295.82</f>
        <v>29259.1</v>
      </c>
    </row>
    <row r="54" spans="1:33">
      <c r="A54" s="72" t="s">
        <v>272</v>
      </c>
      <c r="B54" s="72" t="s">
        <v>44</v>
      </c>
      <c r="C54" s="135" t="s">
        <v>65</v>
      </c>
      <c r="D54" s="73" t="s">
        <v>366</v>
      </c>
      <c r="E54" s="70" t="s">
        <v>0</v>
      </c>
      <c r="F54" s="70">
        <v>10</v>
      </c>
      <c r="G54" s="74">
        <v>45992</v>
      </c>
      <c r="H54" s="72" t="s">
        <v>0</v>
      </c>
      <c r="I54" s="72">
        <v>15</v>
      </c>
      <c r="J54" s="72">
        <v>37</v>
      </c>
      <c r="K54" s="75">
        <v>713.51</v>
      </c>
      <c r="L54" s="75">
        <f t="shared" si="41"/>
        <v>213.6</v>
      </c>
      <c r="M54" s="75">
        <f t="shared" si="37"/>
        <v>366.4</v>
      </c>
      <c r="N54" s="75">
        <v>389.88</v>
      </c>
      <c r="O54" s="4">
        <f t="shared" si="36"/>
        <v>890.21999999999991</v>
      </c>
      <c r="P54" s="75">
        <v>113.46</v>
      </c>
      <c r="Q54" s="71"/>
      <c r="R54" s="71"/>
      <c r="S54" s="75">
        <v>707.01</v>
      </c>
      <c r="T54" s="75">
        <f t="shared" si="42"/>
        <v>211.29999999999998</v>
      </c>
      <c r="U54" s="76">
        <v>12</v>
      </c>
      <c r="V54" s="71">
        <f t="shared" si="27"/>
        <v>8562.1200000000008</v>
      </c>
      <c r="W54" s="71">
        <f t="shared" si="40"/>
        <v>2563.1999999999998</v>
      </c>
      <c r="X54" s="71">
        <f t="shared" si="29"/>
        <v>4396.8</v>
      </c>
      <c r="Y54" s="71">
        <f t="shared" si="30"/>
        <v>4678.5600000000004</v>
      </c>
      <c r="Z54" s="71">
        <f t="shared" si="31"/>
        <v>10682.64</v>
      </c>
      <c r="AA54" s="71">
        <f t="shared" si="32"/>
        <v>1361.52</v>
      </c>
      <c r="AB54" s="71">
        <f t="shared" si="33"/>
        <v>0</v>
      </c>
      <c r="AC54" s="71">
        <f t="shared" si="34"/>
        <v>0</v>
      </c>
      <c r="AD54" s="104">
        <f t="shared" si="35"/>
        <v>32244.84</v>
      </c>
      <c r="AE54" s="5">
        <f>AD54-W54-422.6</f>
        <v>29259.040000000001</v>
      </c>
    </row>
    <row r="55" spans="1:33">
      <c r="A55" s="72" t="s">
        <v>290</v>
      </c>
      <c r="B55" s="72" t="s">
        <v>45</v>
      </c>
      <c r="C55" s="135" t="s">
        <v>82</v>
      </c>
      <c r="D55" s="73" t="s">
        <v>366</v>
      </c>
      <c r="E55" s="70" t="s">
        <v>0</v>
      </c>
      <c r="F55" s="70">
        <v>7</v>
      </c>
      <c r="G55" s="74">
        <v>45206</v>
      </c>
      <c r="H55" s="72" t="s">
        <v>0</v>
      </c>
      <c r="I55" s="72">
        <v>15</v>
      </c>
      <c r="J55" s="72">
        <v>37</v>
      </c>
      <c r="K55" s="75">
        <v>713.51</v>
      </c>
      <c r="L55" s="75">
        <f t="shared" si="41"/>
        <v>149.51999999999998</v>
      </c>
      <c r="M55" s="75">
        <f t="shared" si="37"/>
        <v>355.84</v>
      </c>
      <c r="N55" s="75">
        <v>389.88</v>
      </c>
      <c r="O55" s="4">
        <f t="shared" si="36"/>
        <v>890.21999999999991</v>
      </c>
      <c r="P55" s="75">
        <v>113.46</v>
      </c>
      <c r="Q55" s="71"/>
      <c r="R55" s="75"/>
      <c r="S55" s="75">
        <v>707.01</v>
      </c>
      <c r="T55" s="75">
        <f t="shared" si="42"/>
        <v>147.91</v>
      </c>
      <c r="U55" s="76">
        <v>12</v>
      </c>
      <c r="V55" s="71">
        <f t="shared" si="27"/>
        <v>8562.1200000000008</v>
      </c>
      <c r="W55" s="71">
        <f t="shared" si="40"/>
        <v>1794.24</v>
      </c>
      <c r="X55" s="71">
        <f t="shared" si="29"/>
        <v>4270.08</v>
      </c>
      <c r="Y55" s="71">
        <f t="shared" si="30"/>
        <v>4678.5600000000004</v>
      </c>
      <c r="Z55" s="71">
        <f t="shared" si="31"/>
        <v>10682.64</v>
      </c>
      <c r="AA55" s="71">
        <f t="shared" si="32"/>
        <v>1361.52</v>
      </c>
      <c r="AB55" s="71">
        <f t="shared" si="33"/>
        <v>0</v>
      </c>
      <c r="AC55" s="71">
        <f t="shared" si="34"/>
        <v>0</v>
      </c>
      <c r="AD55" s="104">
        <f t="shared" si="35"/>
        <v>31349.16</v>
      </c>
      <c r="AE55" s="5">
        <f>AD55-W55-295.82</f>
        <v>29259.1</v>
      </c>
    </row>
    <row r="56" spans="1:33">
      <c r="A56" s="72" t="s">
        <v>286</v>
      </c>
      <c r="B56" s="72" t="s">
        <v>33</v>
      </c>
      <c r="C56" s="135" t="s">
        <v>79</v>
      </c>
      <c r="D56" s="73" t="s">
        <v>366</v>
      </c>
      <c r="E56" s="70" t="s">
        <v>0</v>
      </c>
      <c r="F56" s="70">
        <v>7</v>
      </c>
      <c r="G56" s="74">
        <v>45206</v>
      </c>
      <c r="H56" s="72" t="s">
        <v>0</v>
      </c>
      <c r="I56" s="72">
        <v>15</v>
      </c>
      <c r="J56" s="72">
        <v>37</v>
      </c>
      <c r="K56" s="75">
        <v>713.51</v>
      </c>
      <c r="L56" s="75">
        <f t="shared" si="41"/>
        <v>149.51999999999998</v>
      </c>
      <c r="M56" s="75">
        <f t="shared" si="37"/>
        <v>355.84</v>
      </c>
      <c r="N56" s="75">
        <v>389.88</v>
      </c>
      <c r="O56" s="4">
        <f t="shared" si="36"/>
        <v>890.21999999999991</v>
      </c>
      <c r="P56" s="75">
        <v>113.46</v>
      </c>
      <c r="Q56" s="71"/>
      <c r="R56" s="71"/>
      <c r="S56" s="75">
        <v>707.01</v>
      </c>
      <c r="T56" s="75">
        <f t="shared" si="42"/>
        <v>147.91</v>
      </c>
      <c r="U56" s="76">
        <v>12</v>
      </c>
      <c r="V56" s="71">
        <f t="shared" si="27"/>
        <v>8562.1200000000008</v>
      </c>
      <c r="W56" s="71">
        <f t="shared" si="40"/>
        <v>1794.24</v>
      </c>
      <c r="X56" s="71">
        <f t="shared" si="29"/>
        <v>4270.08</v>
      </c>
      <c r="Y56" s="71">
        <f t="shared" si="30"/>
        <v>4678.5600000000004</v>
      </c>
      <c r="Z56" s="71">
        <f t="shared" si="31"/>
        <v>10682.64</v>
      </c>
      <c r="AA56" s="71">
        <f t="shared" si="32"/>
        <v>1361.52</v>
      </c>
      <c r="AB56" s="71">
        <f t="shared" si="33"/>
        <v>0</v>
      </c>
      <c r="AC56" s="71">
        <f t="shared" si="34"/>
        <v>0</v>
      </c>
      <c r="AD56" s="104">
        <f t="shared" si="35"/>
        <v>31349.16</v>
      </c>
      <c r="AE56" s="5">
        <f>AD56-W56-295.82</f>
        <v>29259.1</v>
      </c>
    </row>
    <row r="57" spans="1:33">
      <c r="A57" s="72" t="s">
        <v>280</v>
      </c>
      <c r="B57" s="72" t="s">
        <v>41</v>
      </c>
      <c r="C57" s="135" t="s">
        <v>73</v>
      </c>
      <c r="D57" s="73" t="s">
        <v>366</v>
      </c>
      <c r="E57" s="70" t="s">
        <v>0</v>
      </c>
      <c r="F57" s="70">
        <v>7</v>
      </c>
      <c r="G57" s="74">
        <v>45877</v>
      </c>
      <c r="H57" s="72" t="s">
        <v>0</v>
      </c>
      <c r="I57" s="72">
        <v>15</v>
      </c>
      <c r="J57" s="72">
        <v>37</v>
      </c>
      <c r="K57" s="75">
        <v>713.51</v>
      </c>
      <c r="L57" s="75">
        <f t="shared" si="41"/>
        <v>149.51999999999998</v>
      </c>
      <c r="M57" s="75">
        <f t="shared" si="37"/>
        <v>355.84</v>
      </c>
      <c r="N57" s="75">
        <v>389.88</v>
      </c>
      <c r="O57" s="4">
        <f t="shared" si="36"/>
        <v>890.21999999999991</v>
      </c>
      <c r="P57" s="75">
        <v>113.46</v>
      </c>
      <c r="Q57" s="71"/>
      <c r="R57" s="75"/>
      <c r="S57" s="75">
        <v>707.01</v>
      </c>
      <c r="T57" s="75">
        <f t="shared" si="42"/>
        <v>147.91</v>
      </c>
      <c r="U57" s="76">
        <v>12</v>
      </c>
      <c r="V57" s="71">
        <f t="shared" si="27"/>
        <v>8562.1200000000008</v>
      </c>
      <c r="W57" s="71">
        <f t="shared" si="40"/>
        <v>1794.24</v>
      </c>
      <c r="X57" s="71">
        <f t="shared" si="29"/>
        <v>4270.08</v>
      </c>
      <c r="Y57" s="71">
        <f t="shared" si="30"/>
        <v>4678.5600000000004</v>
      </c>
      <c r="Z57" s="71">
        <f t="shared" si="31"/>
        <v>10682.64</v>
      </c>
      <c r="AA57" s="71">
        <f t="shared" si="32"/>
        <v>1361.52</v>
      </c>
      <c r="AB57" s="71">
        <f t="shared" si="33"/>
        <v>0</v>
      </c>
      <c r="AC57" s="71">
        <f t="shared" si="34"/>
        <v>0</v>
      </c>
      <c r="AD57" s="104">
        <f t="shared" si="35"/>
        <v>31349.16</v>
      </c>
      <c r="AE57" s="5">
        <f>AD57-W57-295.82</f>
        <v>29259.1</v>
      </c>
    </row>
    <row r="58" spans="1:33">
      <c r="A58" s="72" t="s">
        <v>255</v>
      </c>
      <c r="B58" s="72" t="s">
        <v>46</v>
      </c>
      <c r="C58" s="135" t="s">
        <v>58</v>
      </c>
      <c r="D58" s="73" t="s">
        <v>366</v>
      </c>
      <c r="E58" s="70" t="s">
        <v>0</v>
      </c>
      <c r="F58" s="70">
        <v>8</v>
      </c>
      <c r="G58" s="74">
        <v>45055</v>
      </c>
      <c r="H58" s="72" t="s">
        <v>0</v>
      </c>
      <c r="I58" s="72">
        <v>15</v>
      </c>
      <c r="J58" s="72">
        <v>37</v>
      </c>
      <c r="K58" s="75">
        <v>713.51</v>
      </c>
      <c r="L58" s="75">
        <f t="shared" si="41"/>
        <v>170.88</v>
      </c>
      <c r="M58" s="75">
        <f t="shared" si="37"/>
        <v>359.36</v>
      </c>
      <c r="N58" s="75">
        <v>389.88</v>
      </c>
      <c r="O58" s="4">
        <f t="shared" si="36"/>
        <v>890.21999999999991</v>
      </c>
      <c r="P58" s="75">
        <v>113.46</v>
      </c>
      <c r="Q58" s="71"/>
      <c r="R58" s="75"/>
      <c r="S58" s="75">
        <v>707.01</v>
      </c>
      <c r="T58" s="75">
        <f t="shared" si="42"/>
        <v>169.04</v>
      </c>
      <c r="U58" s="76">
        <v>12</v>
      </c>
      <c r="V58" s="71">
        <f t="shared" si="27"/>
        <v>8562.1200000000008</v>
      </c>
      <c r="W58" s="71">
        <f>ROUND(L58*U58,2)</f>
        <v>2050.56</v>
      </c>
      <c r="X58" s="71">
        <f t="shared" si="29"/>
        <v>4312.32</v>
      </c>
      <c r="Y58" s="71">
        <f t="shared" si="30"/>
        <v>4678.5600000000004</v>
      </c>
      <c r="Z58" s="71">
        <f t="shared" si="31"/>
        <v>10682.64</v>
      </c>
      <c r="AA58" s="71">
        <f t="shared" si="32"/>
        <v>1361.52</v>
      </c>
      <c r="AB58" s="71">
        <f t="shared" si="33"/>
        <v>0</v>
      </c>
      <c r="AC58" s="71">
        <f t="shared" si="34"/>
        <v>0</v>
      </c>
      <c r="AD58" s="104">
        <f t="shared" si="35"/>
        <v>31647.72</v>
      </c>
      <c r="AE58" s="5">
        <f>AD58-W58-338.08</f>
        <v>29259.079999999998</v>
      </c>
    </row>
    <row r="59" spans="1:33">
      <c r="A59" s="72" t="s">
        <v>289</v>
      </c>
      <c r="B59" s="72" t="s">
        <v>39</v>
      </c>
      <c r="C59" s="135" t="s">
        <v>81</v>
      </c>
      <c r="D59" s="73" t="s">
        <v>366</v>
      </c>
      <c r="E59" s="70" t="s">
        <v>0</v>
      </c>
      <c r="F59" s="70">
        <v>7</v>
      </c>
      <c r="G59" s="74">
        <v>45206</v>
      </c>
      <c r="H59" s="72" t="s">
        <v>0</v>
      </c>
      <c r="I59" s="72">
        <v>15</v>
      </c>
      <c r="J59" s="72">
        <v>37</v>
      </c>
      <c r="K59" s="75">
        <v>713.51</v>
      </c>
      <c r="L59" s="75">
        <f t="shared" si="41"/>
        <v>149.51999999999998</v>
      </c>
      <c r="M59" s="75">
        <f t="shared" si="37"/>
        <v>355.84</v>
      </c>
      <c r="N59" s="75">
        <v>389.88</v>
      </c>
      <c r="O59" s="4">
        <f t="shared" si="36"/>
        <v>890.21999999999991</v>
      </c>
      <c r="P59" s="75">
        <v>113.46</v>
      </c>
      <c r="Q59" s="71"/>
      <c r="R59" s="75"/>
      <c r="S59" s="75">
        <v>707.01</v>
      </c>
      <c r="T59" s="75">
        <f t="shared" si="42"/>
        <v>147.91</v>
      </c>
      <c r="U59" s="76">
        <v>12</v>
      </c>
      <c r="V59" s="71">
        <f t="shared" si="27"/>
        <v>8562.1200000000008</v>
      </c>
      <c r="W59" s="71">
        <f>ROUND(L59*U59,2)</f>
        <v>1794.24</v>
      </c>
      <c r="X59" s="71">
        <f t="shared" si="29"/>
        <v>4270.08</v>
      </c>
      <c r="Y59" s="71">
        <f>ROUND(N59*U59,2)</f>
        <v>4678.5600000000004</v>
      </c>
      <c r="Z59" s="71">
        <f t="shared" si="31"/>
        <v>10682.64</v>
      </c>
      <c r="AA59" s="71">
        <f t="shared" si="32"/>
        <v>1361.52</v>
      </c>
      <c r="AB59" s="71">
        <f t="shared" si="33"/>
        <v>0</v>
      </c>
      <c r="AC59" s="71">
        <f t="shared" si="34"/>
        <v>0</v>
      </c>
      <c r="AD59" s="104">
        <f t="shared" si="35"/>
        <v>31349.16</v>
      </c>
      <c r="AE59" s="5">
        <f>AD59-W59-295.82</f>
        <v>29259.1</v>
      </c>
    </row>
    <row r="60" spans="1:33">
      <c r="A60" s="72" t="s">
        <v>285</v>
      </c>
      <c r="B60" s="72" t="s">
        <v>18</v>
      </c>
      <c r="C60" s="135" t="s">
        <v>78</v>
      </c>
      <c r="D60" s="73" t="s">
        <v>366</v>
      </c>
      <c r="E60" s="70" t="s">
        <v>0</v>
      </c>
      <c r="F60" s="70">
        <v>7</v>
      </c>
      <c r="G60" s="74">
        <v>45206</v>
      </c>
      <c r="H60" s="72" t="s">
        <v>0</v>
      </c>
      <c r="I60" s="72">
        <v>15</v>
      </c>
      <c r="J60" s="72">
        <v>37</v>
      </c>
      <c r="K60" s="75">
        <v>713.51</v>
      </c>
      <c r="L60" s="75">
        <f t="shared" si="41"/>
        <v>149.51999999999998</v>
      </c>
      <c r="M60" s="75">
        <f t="shared" si="37"/>
        <v>355.84</v>
      </c>
      <c r="N60" s="75">
        <v>389.88</v>
      </c>
      <c r="O60" s="4">
        <f t="shared" si="36"/>
        <v>890.21999999999991</v>
      </c>
      <c r="P60" s="75">
        <v>113.46</v>
      </c>
      <c r="Q60" s="71"/>
      <c r="R60" s="75"/>
      <c r="S60" s="75">
        <v>707.01</v>
      </c>
      <c r="T60" s="75">
        <f t="shared" si="42"/>
        <v>147.91</v>
      </c>
      <c r="U60" s="76">
        <v>12</v>
      </c>
      <c r="V60" s="71">
        <f t="shared" si="27"/>
        <v>8562.1200000000008</v>
      </c>
      <c r="W60" s="71">
        <f>ROUND(L60*U60,2)</f>
        <v>1794.24</v>
      </c>
      <c r="X60" s="71">
        <f t="shared" si="29"/>
        <v>4270.08</v>
      </c>
      <c r="Y60" s="71">
        <f t="shared" si="30"/>
        <v>4678.5600000000004</v>
      </c>
      <c r="Z60" s="71">
        <f t="shared" si="31"/>
        <v>10682.64</v>
      </c>
      <c r="AA60" s="71">
        <f t="shared" si="32"/>
        <v>1361.52</v>
      </c>
      <c r="AB60" s="71">
        <f t="shared" si="33"/>
        <v>0</v>
      </c>
      <c r="AC60" s="71">
        <f t="shared" si="34"/>
        <v>0</v>
      </c>
      <c r="AD60" s="104">
        <f t="shared" si="35"/>
        <v>31349.16</v>
      </c>
      <c r="AE60" s="5">
        <f>AD60-W60-295.82</f>
        <v>29259.1</v>
      </c>
    </row>
    <row r="61" spans="1:33">
      <c r="A61" s="72" t="s">
        <v>284</v>
      </c>
      <c r="B61" s="72" t="s">
        <v>42</v>
      </c>
      <c r="C61" s="135" t="s">
        <v>77</v>
      </c>
      <c r="D61" s="73" t="s">
        <v>366</v>
      </c>
      <c r="E61" s="70" t="s">
        <v>0</v>
      </c>
      <c r="F61" s="70">
        <v>7</v>
      </c>
      <c r="G61" s="74">
        <v>45202</v>
      </c>
      <c r="H61" s="72" t="s">
        <v>0</v>
      </c>
      <c r="I61" s="72">
        <v>15</v>
      </c>
      <c r="J61" s="72">
        <v>37</v>
      </c>
      <c r="K61" s="75">
        <v>713.51</v>
      </c>
      <c r="L61" s="75">
        <f t="shared" si="41"/>
        <v>149.51999999999998</v>
      </c>
      <c r="M61" s="75">
        <f t="shared" si="37"/>
        <v>355.84</v>
      </c>
      <c r="N61" s="75">
        <v>389.88</v>
      </c>
      <c r="O61" s="4">
        <f t="shared" si="36"/>
        <v>890.21999999999991</v>
      </c>
      <c r="P61" s="75">
        <v>113.46</v>
      </c>
      <c r="Q61" s="71"/>
      <c r="R61" s="75"/>
      <c r="S61" s="75">
        <v>707.01</v>
      </c>
      <c r="T61" s="75">
        <f t="shared" si="42"/>
        <v>147.91</v>
      </c>
      <c r="U61" s="76">
        <v>12</v>
      </c>
      <c r="V61" s="71">
        <f t="shared" si="27"/>
        <v>8562.1200000000008</v>
      </c>
      <c r="W61" s="71">
        <f>ROUND(L61*U61,2)</f>
        <v>1794.24</v>
      </c>
      <c r="X61" s="71">
        <f t="shared" si="29"/>
        <v>4270.08</v>
      </c>
      <c r="Y61" s="71">
        <f t="shared" si="30"/>
        <v>4678.5600000000004</v>
      </c>
      <c r="Z61" s="71">
        <f t="shared" si="31"/>
        <v>10682.64</v>
      </c>
      <c r="AA61" s="71">
        <f t="shared" si="32"/>
        <v>1361.52</v>
      </c>
      <c r="AB61" s="71">
        <f t="shared" si="33"/>
        <v>0</v>
      </c>
      <c r="AC61" s="71">
        <f t="shared" si="34"/>
        <v>0</v>
      </c>
      <c r="AD61" s="104">
        <f t="shared" si="35"/>
        <v>31349.16</v>
      </c>
      <c r="AE61" s="5">
        <f>AD61-W61-295.82</f>
        <v>29259.1</v>
      </c>
    </row>
    <row r="62" spans="1:33">
      <c r="A62" s="72" t="s">
        <v>276</v>
      </c>
      <c r="B62" s="72" t="s">
        <v>38</v>
      </c>
      <c r="C62" s="139" t="s">
        <v>68</v>
      </c>
      <c r="D62" s="73" t="s">
        <v>112</v>
      </c>
      <c r="E62" s="70" t="s">
        <v>0</v>
      </c>
      <c r="F62" s="70">
        <v>7</v>
      </c>
      <c r="G62" s="74">
        <v>45780</v>
      </c>
      <c r="H62" s="72" t="s">
        <v>0</v>
      </c>
      <c r="I62" s="72">
        <v>15</v>
      </c>
      <c r="J62" s="72">
        <v>37</v>
      </c>
      <c r="K62" s="75">
        <v>713.51</v>
      </c>
      <c r="L62" s="75">
        <f t="shared" si="41"/>
        <v>149.51999999999998</v>
      </c>
      <c r="M62" s="75">
        <f t="shared" si="37"/>
        <v>355.84</v>
      </c>
      <c r="N62" s="75">
        <v>389.88</v>
      </c>
      <c r="O62" s="4">
        <f t="shared" si="36"/>
        <v>890.21999999999991</v>
      </c>
      <c r="P62" s="75">
        <v>113.46</v>
      </c>
      <c r="Q62" s="71"/>
      <c r="R62" s="75"/>
      <c r="S62" s="75">
        <v>707.01</v>
      </c>
      <c r="T62" s="75">
        <f t="shared" si="42"/>
        <v>147.91</v>
      </c>
      <c r="U62" s="76">
        <v>12</v>
      </c>
      <c r="V62" s="71">
        <f t="shared" si="27"/>
        <v>8562.1200000000008</v>
      </c>
      <c r="W62" s="71">
        <f>ROUND(L62*U62,2)</f>
        <v>1794.24</v>
      </c>
      <c r="X62" s="71">
        <f t="shared" si="29"/>
        <v>4270.08</v>
      </c>
      <c r="Y62" s="71">
        <f t="shared" si="30"/>
        <v>4678.5600000000004</v>
      </c>
      <c r="Z62" s="71">
        <f t="shared" si="31"/>
        <v>10682.64</v>
      </c>
      <c r="AA62" s="71">
        <f t="shared" si="32"/>
        <v>1361.52</v>
      </c>
      <c r="AB62" s="71">
        <f t="shared" si="33"/>
        <v>0</v>
      </c>
      <c r="AC62" s="71">
        <f t="shared" si="34"/>
        <v>0</v>
      </c>
      <c r="AD62" s="104">
        <f t="shared" si="35"/>
        <v>31349.16</v>
      </c>
      <c r="AE62" s="5">
        <f>AD62-W62-295.82</f>
        <v>29259.1</v>
      </c>
    </row>
    <row r="63" spans="1:33">
      <c r="A63" s="72" t="s">
        <v>275</v>
      </c>
      <c r="B63" s="72" t="s">
        <v>40</v>
      </c>
      <c r="C63" s="139" t="s">
        <v>204</v>
      </c>
      <c r="D63" s="73" t="s">
        <v>112</v>
      </c>
      <c r="E63" s="70" t="s">
        <v>0</v>
      </c>
      <c r="F63" s="70">
        <v>7</v>
      </c>
      <c r="G63" s="74">
        <v>45779</v>
      </c>
      <c r="H63" s="72" t="s">
        <v>0</v>
      </c>
      <c r="I63" s="72">
        <v>15</v>
      </c>
      <c r="J63" s="72">
        <v>37</v>
      </c>
      <c r="K63" s="75">
        <v>713.51</v>
      </c>
      <c r="L63" s="75">
        <f>(21.36*F63)</f>
        <v>149.51999999999998</v>
      </c>
      <c r="M63" s="75">
        <f t="shared" si="37"/>
        <v>355.84</v>
      </c>
      <c r="N63" s="75">
        <v>389.88</v>
      </c>
      <c r="O63" s="4">
        <f t="shared" si="36"/>
        <v>890.21999999999991</v>
      </c>
      <c r="P63" s="75">
        <v>113.46</v>
      </c>
      <c r="Q63" s="71"/>
      <c r="R63" s="75"/>
      <c r="S63" s="75">
        <v>707.01</v>
      </c>
      <c r="T63" s="75">
        <f>21.13*F63</f>
        <v>147.91</v>
      </c>
      <c r="U63" s="76">
        <v>12</v>
      </c>
      <c r="V63" s="71">
        <f t="shared" si="27"/>
        <v>8562.1200000000008</v>
      </c>
      <c r="W63" s="71">
        <f t="shared" ref="W63:W64" si="43">ROUND(L63*U63,2)</f>
        <v>1794.24</v>
      </c>
      <c r="X63" s="71">
        <f t="shared" si="29"/>
        <v>4270.08</v>
      </c>
      <c r="Y63" s="71">
        <f t="shared" si="30"/>
        <v>4678.5600000000004</v>
      </c>
      <c r="Z63" s="71">
        <f t="shared" si="31"/>
        <v>10682.64</v>
      </c>
      <c r="AA63" s="71">
        <f t="shared" si="32"/>
        <v>1361.52</v>
      </c>
      <c r="AB63" s="71">
        <f t="shared" si="33"/>
        <v>0</v>
      </c>
      <c r="AC63" s="71">
        <f t="shared" si="34"/>
        <v>0</v>
      </c>
      <c r="AD63" s="104">
        <f t="shared" si="35"/>
        <v>31349.16</v>
      </c>
      <c r="AE63" s="5">
        <f>AD63-W63-295.82</f>
        <v>29259.1</v>
      </c>
    </row>
    <row r="64" spans="1:33">
      <c r="A64" s="72" t="s">
        <v>281</v>
      </c>
      <c r="B64" s="72" t="s">
        <v>37</v>
      </c>
      <c r="C64" s="142" t="s">
        <v>344</v>
      </c>
      <c r="D64" s="73" t="s">
        <v>366</v>
      </c>
      <c r="E64" s="70" t="s">
        <v>0</v>
      </c>
      <c r="F64" s="70"/>
      <c r="G64" s="74"/>
      <c r="H64" s="72" t="s">
        <v>0</v>
      </c>
      <c r="I64" s="72">
        <v>15</v>
      </c>
      <c r="J64" s="72">
        <v>37</v>
      </c>
      <c r="K64" s="75">
        <v>713.51</v>
      </c>
      <c r="L64" s="75">
        <f>(20.84*F64)</f>
        <v>0</v>
      </c>
      <c r="M64" s="75">
        <f t="shared" si="37"/>
        <v>331.19</v>
      </c>
      <c r="N64" s="75">
        <v>389.88</v>
      </c>
      <c r="O64" s="4">
        <f t="shared" si="36"/>
        <v>890.21999999999991</v>
      </c>
      <c r="P64" s="75">
        <v>113.46</v>
      </c>
      <c r="Q64" s="71"/>
      <c r="R64" s="75"/>
      <c r="S64" s="75">
        <v>707.01</v>
      </c>
      <c r="T64" s="75">
        <f t="shared" ref="T64" si="44">20.62*F64</f>
        <v>0</v>
      </c>
      <c r="U64" s="76">
        <v>12</v>
      </c>
      <c r="V64" s="71">
        <f t="shared" si="27"/>
        <v>8562.1200000000008</v>
      </c>
      <c r="W64" s="71">
        <f t="shared" si="43"/>
        <v>0</v>
      </c>
      <c r="X64" s="71">
        <f t="shared" si="29"/>
        <v>3974.28</v>
      </c>
      <c r="Y64" s="71">
        <f t="shared" si="30"/>
        <v>4678.5600000000004</v>
      </c>
      <c r="Z64" s="71">
        <f t="shared" si="31"/>
        <v>10682.64</v>
      </c>
      <c r="AA64" s="71">
        <f t="shared" si="32"/>
        <v>1361.52</v>
      </c>
      <c r="AB64" s="71">
        <f t="shared" si="33"/>
        <v>0</v>
      </c>
      <c r="AC64" s="71">
        <f t="shared" si="34"/>
        <v>0</v>
      </c>
      <c r="AD64" s="104">
        <f t="shared" si="35"/>
        <v>29259.120000000003</v>
      </c>
      <c r="AE64" s="5">
        <f>AD64-W64</f>
        <v>29259.120000000003</v>
      </c>
    </row>
    <row r="65" spans="1:31">
      <c r="A65" s="72" t="s">
        <v>294</v>
      </c>
      <c r="B65" s="72" t="s">
        <v>24</v>
      </c>
      <c r="C65" s="139" t="s">
        <v>205</v>
      </c>
      <c r="D65" s="73" t="s">
        <v>366</v>
      </c>
      <c r="E65" s="70" t="s">
        <v>0</v>
      </c>
      <c r="F65" s="70">
        <v>6</v>
      </c>
      <c r="G65" s="74">
        <v>45427</v>
      </c>
      <c r="H65" s="72" t="s">
        <v>0</v>
      </c>
      <c r="I65" s="72">
        <v>15</v>
      </c>
      <c r="J65" s="72">
        <v>37</v>
      </c>
      <c r="K65" s="75">
        <v>713.51</v>
      </c>
      <c r="L65" s="75">
        <f>(21.36*F65)</f>
        <v>128.16</v>
      </c>
      <c r="M65" s="75">
        <f t="shared" si="37"/>
        <v>355.84</v>
      </c>
      <c r="N65" s="75">
        <v>389.88</v>
      </c>
      <c r="O65" s="4">
        <f t="shared" si="36"/>
        <v>890.21999999999991</v>
      </c>
      <c r="P65" s="75">
        <v>113.46</v>
      </c>
      <c r="Q65" s="71"/>
      <c r="R65" s="75"/>
      <c r="S65" s="75">
        <v>707.01</v>
      </c>
      <c r="T65" s="75">
        <f>21.13*F65+21.13</f>
        <v>147.91</v>
      </c>
      <c r="U65" s="76">
        <v>12</v>
      </c>
      <c r="V65" s="71">
        <f t="shared" si="27"/>
        <v>8562.1200000000008</v>
      </c>
      <c r="W65" s="71">
        <f>ROUND(L65*U65,2)+21.36*7</f>
        <v>1687.44</v>
      </c>
      <c r="X65" s="71">
        <f t="shared" si="29"/>
        <v>4270.08</v>
      </c>
      <c r="Y65" s="71">
        <f t="shared" si="30"/>
        <v>4678.5600000000004</v>
      </c>
      <c r="Z65" s="71">
        <f t="shared" si="31"/>
        <v>10682.64</v>
      </c>
      <c r="AA65" s="71">
        <f t="shared" si="32"/>
        <v>1361.52</v>
      </c>
      <c r="AB65" s="71">
        <f t="shared" si="33"/>
        <v>0</v>
      </c>
      <c r="AC65" s="71">
        <f t="shared" si="34"/>
        <v>0</v>
      </c>
      <c r="AD65" s="104">
        <f t="shared" si="35"/>
        <v>31242.36</v>
      </c>
      <c r="AE65" s="5">
        <f>AD65-W65-295.82</f>
        <v>29259.100000000002</v>
      </c>
    </row>
    <row r="66" spans="1:31">
      <c r="A66" s="72" t="s">
        <v>295</v>
      </c>
      <c r="B66" s="72" t="s">
        <v>30</v>
      </c>
      <c r="C66" s="139" t="s">
        <v>206</v>
      </c>
      <c r="D66" s="73" t="s">
        <v>366</v>
      </c>
      <c r="E66" s="70" t="s">
        <v>0</v>
      </c>
      <c r="F66" s="70">
        <v>6</v>
      </c>
      <c r="G66" s="74">
        <v>45427</v>
      </c>
      <c r="H66" s="72" t="s">
        <v>0</v>
      </c>
      <c r="I66" s="72">
        <v>15</v>
      </c>
      <c r="J66" s="72">
        <v>37</v>
      </c>
      <c r="K66" s="75">
        <v>713.51</v>
      </c>
      <c r="L66" s="75">
        <f>(21.36*F66)</f>
        <v>128.16</v>
      </c>
      <c r="M66" s="75">
        <f t="shared" si="37"/>
        <v>355.84</v>
      </c>
      <c r="N66" s="75">
        <v>389.88</v>
      </c>
      <c r="O66" s="4">
        <f t="shared" si="36"/>
        <v>890.21999999999991</v>
      </c>
      <c r="P66" s="75">
        <v>113.46</v>
      </c>
      <c r="Q66" s="71"/>
      <c r="R66" s="75"/>
      <c r="S66" s="75">
        <v>707.01</v>
      </c>
      <c r="T66" s="75">
        <f>21.13*F66+21.13</f>
        <v>147.91</v>
      </c>
      <c r="U66" s="76">
        <v>12</v>
      </c>
      <c r="V66" s="71">
        <f t="shared" si="27"/>
        <v>8562.1200000000008</v>
      </c>
      <c r="W66" s="71">
        <f>ROUND(L66*U66,2)+21.36*7</f>
        <v>1687.44</v>
      </c>
      <c r="X66" s="71">
        <f t="shared" si="29"/>
        <v>4270.08</v>
      </c>
      <c r="Y66" s="71">
        <f t="shared" si="30"/>
        <v>4678.5600000000004</v>
      </c>
      <c r="Z66" s="71">
        <f t="shared" si="31"/>
        <v>10682.64</v>
      </c>
      <c r="AA66" s="71">
        <f t="shared" si="32"/>
        <v>1361.52</v>
      </c>
      <c r="AB66" s="71">
        <f t="shared" si="33"/>
        <v>0</v>
      </c>
      <c r="AC66" s="71">
        <f t="shared" si="34"/>
        <v>0</v>
      </c>
      <c r="AD66" s="104">
        <f t="shared" si="35"/>
        <v>31242.36</v>
      </c>
      <c r="AE66" s="5">
        <f>AD66-W66-295.82</f>
        <v>29259.100000000002</v>
      </c>
    </row>
    <row r="67" spans="1:31">
      <c r="A67" s="72" t="s">
        <v>296</v>
      </c>
      <c r="B67" s="72" t="s">
        <v>21</v>
      </c>
      <c r="C67" s="139" t="s">
        <v>87</v>
      </c>
      <c r="D67" s="73" t="s">
        <v>366</v>
      </c>
      <c r="E67" s="70" t="s">
        <v>0</v>
      </c>
      <c r="F67" s="70">
        <v>6</v>
      </c>
      <c r="G67" s="74">
        <v>45559</v>
      </c>
      <c r="H67" s="72" t="s">
        <v>0</v>
      </c>
      <c r="I67" s="72">
        <v>15</v>
      </c>
      <c r="J67" s="72">
        <v>37</v>
      </c>
      <c r="K67" s="75">
        <v>713.51</v>
      </c>
      <c r="L67" s="75">
        <f>(21.36*F67)</f>
        <v>128.16</v>
      </c>
      <c r="M67" s="75">
        <f>((S67+T67+N67+O67)/12)+(N67+O67+S67+147.91)/12</f>
        <v>354.07583333333332</v>
      </c>
      <c r="N67" s="75">
        <v>389.88</v>
      </c>
      <c r="O67" s="4">
        <f t="shared" si="36"/>
        <v>890.21999999999991</v>
      </c>
      <c r="P67" s="75">
        <v>113.46</v>
      </c>
      <c r="Q67" s="71"/>
      <c r="R67" s="75"/>
      <c r="S67" s="75">
        <v>707.01</v>
      </c>
      <c r="T67" s="75">
        <f>21.13*F67</f>
        <v>126.78</v>
      </c>
      <c r="U67" s="76">
        <v>12</v>
      </c>
      <c r="V67" s="71">
        <f t="shared" si="27"/>
        <v>8562.1200000000008</v>
      </c>
      <c r="W67" s="71">
        <f>ROUND(L67*U67,2)+21.36*3</f>
        <v>1602</v>
      </c>
      <c r="X67" s="71">
        <f t="shared" si="29"/>
        <v>4248.91</v>
      </c>
      <c r="Y67" s="71">
        <f t="shared" si="30"/>
        <v>4678.5600000000004</v>
      </c>
      <c r="Z67" s="71">
        <f t="shared" si="31"/>
        <v>10682.64</v>
      </c>
      <c r="AA67" s="71">
        <f t="shared" si="32"/>
        <v>1361.52</v>
      </c>
      <c r="AB67" s="71">
        <f t="shared" si="33"/>
        <v>0</v>
      </c>
      <c r="AC67" s="71">
        <f t="shared" si="34"/>
        <v>0</v>
      </c>
      <c r="AD67" s="104">
        <f t="shared" si="35"/>
        <v>31135.75</v>
      </c>
      <c r="AE67" s="5">
        <f>AD67-W67-274.69</f>
        <v>29259.06</v>
      </c>
    </row>
    <row r="68" spans="1:31">
      <c r="A68" s="72" t="s">
        <v>273</v>
      </c>
      <c r="B68" s="72" t="s">
        <v>23</v>
      </c>
      <c r="C68" s="139" t="s">
        <v>207</v>
      </c>
      <c r="D68" s="73" t="s">
        <v>112</v>
      </c>
      <c r="E68" s="70" t="s">
        <v>0</v>
      </c>
      <c r="F68" s="70">
        <v>7</v>
      </c>
      <c r="G68" s="74">
        <v>45111</v>
      </c>
      <c r="H68" s="72" t="s">
        <v>0</v>
      </c>
      <c r="I68" s="72">
        <v>15</v>
      </c>
      <c r="J68" s="72">
        <v>37</v>
      </c>
      <c r="K68" s="75">
        <v>713.51</v>
      </c>
      <c r="L68" s="75">
        <f>(21.36*F68)</f>
        <v>149.51999999999998</v>
      </c>
      <c r="M68" s="75">
        <f>(N68+O68+S68+123.72)/12+(N68+O68+S68+144.34)/12</f>
        <v>353.52333333333331</v>
      </c>
      <c r="N68" s="75">
        <v>389.88</v>
      </c>
      <c r="O68" s="4">
        <f t="shared" si="36"/>
        <v>890.21999999999991</v>
      </c>
      <c r="P68" s="75">
        <v>113.46</v>
      </c>
      <c r="Q68" s="71"/>
      <c r="R68" s="75"/>
      <c r="S68" s="75">
        <v>707.01</v>
      </c>
      <c r="T68" s="75">
        <f>21.13*F68</f>
        <v>147.91</v>
      </c>
      <c r="U68" s="76">
        <v>12</v>
      </c>
      <c r="V68" s="71">
        <f t="shared" si="27"/>
        <v>8562.1200000000008</v>
      </c>
      <c r="W68" s="71">
        <f>ROUND(L68*U68,2)</f>
        <v>1794.24</v>
      </c>
      <c r="X68" s="71">
        <f t="shared" si="29"/>
        <v>4242.28</v>
      </c>
      <c r="Y68" s="71">
        <f t="shared" si="30"/>
        <v>4678.5600000000004</v>
      </c>
      <c r="Z68" s="71">
        <f t="shared" si="31"/>
        <v>10682.64</v>
      </c>
      <c r="AA68" s="71">
        <f t="shared" si="32"/>
        <v>1361.52</v>
      </c>
      <c r="AB68" s="71">
        <f t="shared" si="33"/>
        <v>0</v>
      </c>
      <c r="AC68" s="71">
        <f t="shared" si="34"/>
        <v>0</v>
      </c>
      <c r="AD68" s="104">
        <f t="shared" si="35"/>
        <v>31321.360000000001</v>
      </c>
      <c r="AE68" s="5">
        <f>AD68-W68-295.82</f>
        <v>29231.3</v>
      </c>
    </row>
    <row r="69" spans="1:31">
      <c r="A69" s="87"/>
      <c r="B69" s="87"/>
      <c r="C69" s="88"/>
      <c r="D69" s="89"/>
      <c r="E69" s="90"/>
      <c r="F69" s="90"/>
      <c r="G69" s="91"/>
      <c r="H69" s="87"/>
      <c r="I69" s="87"/>
      <c r="J69" s="87"/>
      <c r="K69" s="92"/>
      <c r="L69" s="92"/>
      <c r="M69" s="92"/>
      <c r="N69" s="92"/>
      <c r="O69" s="92"/>
      <c r="P69" s="92"/>
      <c r="Q69" s="93"/>
      <c r="R69" s="92"/>
      <c r="S69" s="92"/>
      <c r="T69" s="92"/>
      <c r="U69" s="88"/>
      <c r="V69" s="93"/>
      <c r="W69" s="93"/>
      <c r="X69" s="93"/>
      <c r="Y69" s="93"/>
      <c r="Z69" s="93"/>
      <c r="AA69" s="93"/>
      <c r="AB69" s="93"/>
      <c r="AC69" s="93"/>
      <c r="AD69" s="105">
        <f>SUM(AD39:AD68)</f>
        <v>1033794.8</v>
      </c>
      <c r="AE69" s="105">
        <f>SUM(AE39:AE68)</f>
        <v>961198.66999999969</v>
      </c>
    </row>
    <row r="70" spans="1:31">
      <c r="AE70" s="115"/>
    </row>
    <row r="71" spans="1:31">
      <c r="A71" s="51"/>
      <c r="B71" s="51"/>
      <c r="C71" s="51" t="s">
        <v>208</v>
      </c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3"/>
    </row>
    <row r="72" spans="1:31" ht="26.25">
      <c r="A72" s="50" t="s">
        <v>243</v>
      </c>
      <c r="B72" s="50" t="s">
        <v>51</v>
      </c>
      <c r="C72" s="53" t="s">
        <v>90</v>
      </c>
      <c r="D72" s="50" t="s">
        <v>362</v>
      </c>
      <c r="E72" s="54" t="s">
        <v>124</v>
      </c>
      <c r="F72" s="54" t="s">
        <v>176</v>
      </c>
      <c r="G72" s="54" t="s">
        <v>125</v>
      </c>
      <c r="H72" s="50" t="s">
        <v>32</v>
      </c>
      <c r="I72" s="50" t="s">
        <v>167</v>
      </c>
      <c r="J72" s="50" t="s">
        <v>168</v>
      </c>
      <c r="K72" s="55" t="s">
        <v>92</v>
      </c>
      <c r="L72" s="55" t="s">
        <v>93</v>
      </c>
      <c r="M72" s="55" t="s">
        <v>94</v>
      </c>
      <c r="N72" s="55" t="s">
        <v>95</v>
      </c>
      <c r="O72" s="55" t="s">
        <v>96</v>
      </c>
      <c r="P72" s="55" t="s">
        <v>97</v>
      </c>
      <c r="Q72" s="55" t="s">
        <v>98</v>
      </c>
      <c r="R72" s="55" t="s">
        <v>99</v>
      </c>
      <c r="S72" s="55" t="s">
        <v>100</v>
      </c>
      <c r="T72" s="55" t="s">
        <v>101</v>
      </c>
      <c r="U72" s="50" t="s">
        <v>102</v>
      </c>
      <c r="V72" s="55" t="s">
        <v>103</v>
      </c>
      <c r="W72" s="55" t="s">
        <v>104</v>
      </c>
      <c r="X72" s="55" t="s">
        <v>105</v>
      </c>
      <c r="Y72" s="55" t="s">
        <v>106</v>
      </c>
      <c r="Z72" s="55" t="s">
        <v>107</v>
      </c>
      <c r="AA72" s="55" t="s">
        <v>108</v>
      </c>
      <c r="AB72" s="55" t="s">
        <v>109</v>
      </c>
      <c r="AC72" s="55" t="s">
        <v>110</v>
      </c>
      <c r="AD72" s="111" t="s">
        <v>342</v>
      </c>
      <c r="AE72" s="132" t="s">
        <v>343</v>
      </c>
    </row>
    <row r="73" spans="1:31">
      <c r="A73" s="16" t="s">
        <v>270</v>
      </c>
      <c r="B73" s="16" t="s">
        <v>17</v>
      </c>
      <c r="C73" s="144" t="s">
        <v>64</v>
      </c>
      <c r="D73" s="6" t="s">
        <v>358</v>
      </c>
      <c r="E73" s="7" t="s">
        <v>126</v>
      </c>
      <c r="F73" s="7">
        <v>8</v>
      </c>
      <c r="G73" s="17">
        <v>44995</v>
      </c>
      <c r="H73" s="16" t="s">
        <v>7</v>
      </c>
      <c r="I73" s="16">
        <v>22</v>
      </c>
      <c r="J73" s="16">
        <v>52</v>
      </c>
      <c r="K73" s="4">
        <v>857.3</v>
      </c>
      <c r="L73" s="4">
        <f>31.38*F73</f>
        <v>251.04</v>
      </c>
      <c r="M73" s="4">
        <f t="shared" ref="M73:M74" si="45">ROUND((S73+T73+N73+O73)*2/12,2)</f>
        <v>469.3</v>
      </c>
      <c r="N73" s="4">
        <v>607.04999999999995</v>
      </c>
      <c r="O73" s="4">
        <f>24.06*J73</f>
        <v>1251.1199999999999</v>
      </c>
      <c r="P73" s="4">
        <v>137.65</v>
      </c>
      <c r="Q73" s="5"/>
      <c r="R73" s="4"/>
      <c r="S73" s="4">
        <v>740.97</v>
      </c>
      <c r="T73" s="4">
        <f>F73*27.08</f>
        <v>216.64</v>
      </c>
      <c r="U73" s="8">
        <v>12</v>
      </c>
      <c r="V73" s="5">
        <f>ROUND(K73*U73,2)</f>
        <v>10287.6</v>
      </c>
      <c r="W73" s="5">
        <f>ROUND(L73*U73,2)</f>
        <v>3012.48</v>
      </c>
      <c r="X73" s="5">
        <f>ROUND(M73*U73,2)</f>
        <v>5631.6</v>
      </c>
      <c r="Y73" s="5">
        <f t="shared" ref="Y73:Y75" si="46">ROUND(N73*U73,2)</f>
        <v>7284.6</v>
      </c>
      <c r="Z73" s="5">
        <f t="shared" ref="Z73:Z75" si="47">ROUND(O73*U73,2)</f>
        <v>15013.44</v>
      </c>
      <c r="AA73" s="5">
        <f t="shared" ref="AA73:AA75" si="48">ROUND(P73*U73,2)</f>
        <v>1651.8</v>
      </c>
      <c r="AB73" s="5">
        <f>ROUND(Q73*U73,2)</f>
        <v>0</v>
      </c>
      <c r="AC73" s="5">
        <f>ROUND(R73*U73,2)</f>
        <v>0</v>
      </c>
      <c r="AD73" s="101">
        <f>V73+W73+X73+Y73+Z73+AA73</f>
        <v>42881.520000000004</v>
      </c>
      <c r="AE73" s="5">
        <f>AD73-W73-433.28</f>
        <v>39435.760000000002</v>
      </c>
    </row>
    <row r="74" spans="1:31">
      <c r="A74" s="72" t="s">
        <v>264</v>
      </c>
      <c r="B74" s="72" t="s">
        <v>13</v>
      </c>
      <c r="C74" s="135" t="s">
        <v>60</v>
      </c>
      <c r="D74" s="73" t="s">
        <v>367</v>
      </c>
      <c r="E74" s="70" t="s">
        <v>0</v>
      </c>
      <c r="F74" s="70">
        <v>8</v>
      </c>
      <c r="G74" s="74">
        <v>45748</v>
      </c>
      <c r="H74" s="72" t="s">
        <v>0</v>
      </c>
      <c r="I74" s="72">
        <v>15</v>
      </c>
      <c r="J74" s="72">
        <v>37</v>
      </c>
      <c r="K74" s="75">
        <v>713.51</v>
      </c>
      <c r="L74" s="75">
        <f>21.36*F74</f>
        <v>170.88</v>
      </c>
      <c r="M74" s="75">
        <f t="shared" si="45"/>
        <v>359.36</v>
      </c>
      <c r="N74" s="75">
        <v>389.88</v>
      </c>
      <c r="O74" s="4">
        <f t="shared" ref="O74:O75" si="49">24.06*J74</f>
        <v>890.21999999999991</v>
      </c>
      <c r="P74" s="75">
        <v>113.46</v>
      </c>
      <c r="Q74" s="71"/>
      <c r="R74" s="75"/>
      <c r="S74" s="75">
        <v>707.01</v>
      </c>
      <c r="T74" s="75">
        <f>(21.13*F74)</f>
        <v>169.04</v>
      </c>
      <c r="U74" s="76">
        <v>12</v>
      </c>
      <c r="V74" s="71">
        <f>ROUND(K74*U74,2)</f>
        <v>8562.1200000000008</v>
      </c>
      <c r="W74" s="71">
        <f>ROUND(L74*U74,2)</f>
        <v>2050.56</v>
      </c>
      <c r="X74" s="71">
        <f>ROUND(M74*U74,2)</f>
        <v>4312.32</v>
      </c>
      <c r="Y74" s="71">
        <f t="shared" si="46"/>
        <v>4678.5600000000004</v>
      </c>
      <c r="Z74" s="71">
        <f t="shared" si="47"/>
        <v>10682.64</v>
      </c>
      <c r="AA74" s="71">
        <f t="shared" si="48"/>
        <v>1361.52</v>
      </c>
      <c r="AB74" s="71">
        <f>ROUND(Q74*U74,2)</f>
        <v>0</v>
      </c>
      <c r="AC74" s="71">
        <f>ROUND(R74*U74,2)</f>
        <v>0</v>
      </c>
      <c r="AD74" s="104">
        <f>V74+W74+X74+Y74+Z74+AA74</f>
        <v>31647.72</v>
      </c>
      <c r="AE74" s="5">
        <f>AD74-W74-338.08</f>
        <v>29259.079999999998</v>
      </c>
    </row>
    <row r="75" spans="1:31">
      <c r="A75" s="72" t="s">
        <v>254</v>
      </c>
      <c r="B75" s="72" t="s">
        <v>20</v>
      </c>
      <c r="C75" s="135" t="s">
        <v>66</v>
      </c>
      <c r="D75" s="73" t="s">
        <v>367</v>
      </c>
      <c r="E75" s="70" t="s">
        <v>0</v>
      </c>
      <c r="F75" s="70">
        <v>7</v>
      </c>
      <c r="G75" s="74">
        <v>45513</v>
      </c>
      <c r="H75" s="72" t="s">
        <v>0</v>
      </c>
      <c r="I75" s="72">
        <v>15</v>
      </c>
      <c r="J75" s="72">
        <v>37</v>
      </c>
      <c r="K75" s="75">
        <v>713.51</v>
      </c>
      <c r="L75" s="75">
        <f>(21.36*F75)</f>
        <v>149.51999999999998</v>
      </c>
      <c r="M75" s="75">
        <f>((S75+T75+N75+O75)/12)+((N75+O75+S75+169.04)/12)</f>
        <v>357.59749999999997</v>
      </c>
      <c r="N75" s="75">
        <v>389.88</v>
      </c>
      <c r="O75" s="4">
        <f t="shared" si="49"/>
        <v>890.21999999999991</v>
      </c>
      <c r="P75" s="75">
        <v>113.46</v>
      </c>
      <c r="Q75" s="71"/>
      <c r="R75" s="75"/>
      <c r="S75" s="75">
        <v>707.01</v>
      </c>
      <c r="T75" s="75">
        <f>(21.13*F75)</f>
        <v>147.91</v>
      </c>
      <c r="U75" s="76">
        <v>12</v>
      </c>
      <c r="V75" s="71">
        <f>ROUND(K75*U75,2)</f>
        <v>8562.1200000000008</v>
      </c>
      <c r="W75" s="71">
        <f>ROUND(L75*U75,2)+21.36*4</f>
        <v>1879.68</v>
      </c>
      <c r="X75" s="71">
        <f>ROUND(M75*U75,2)</f>
        <v>4291.17</v>
      </c>
      <c r="Y75" s="71">
        <f t="shared" si="46"/>
        <v>4678.5600000000004</v>
      </c>
      <c r="Z75" s="71">
        <f t="shared" si="47"/>
        <v>10682.64</v>
      </c>
      <c r="AA75" s="71">
        <f t="shared" si="48"/>
        <v>1361.52</v>
      </c>
      <c r="AB75" s="71">
        <f>ROUND(Q75*U75,2)</f>
        <v>0</v>
      </c>
      <c r="AC75" s="71">
        <f>ROUND(R75*U75,2)</f>
        <v>0</v>
      </c>
      <c r="AD75" s="104">
        <f>V75+W75+X75+Y75+Z75+AA75</f>
        <v>31455.690000000002</v>
      </c>
      <c r="AE75" s="5">
        <f>AD75-W75-316.95</f>
        <v>29259.06</v>
      </c>
    </row>
    <row r="76" spans="1:31">
      <c r="W76" s="100"/>
      <c r="AD76" s="112">
        <f>SUM(AD73:AD75)</f>
        <v>105984.93000000001</v>
      </c>
      <c r="AE76" s="112">
        <f>SUM(AE73:AE75)</f>
        <v>97953.9</v>
      </c>
    </row>
    <row r="79" spans="1:31" ht="28.5" customHeight="1">
      <c r="Z79" s="264" t="s">
        <v>355</v>
      </c>
      <c r="AA79" s="264"/>
      <c r="AB79" s="264"/>
      <c r="AC79" s="264"/>
      <c r="AD79" s="112">
        <f>(AD76+AD69+AD34+AD28+AD21+AD16+AD9)/2</f>
        <v>791849.41</v>
      </c>
      <c r="AE79" s="100"/>
    </row>
    <row r="80" spans="1:31">
      <c r="Z80" s="73"/>
      <c r="AA80" s="73"/>
      <c r="AB80" s="73"/>
      <c r="AC80" s="73"/>
      <c r="AD80" s="71"/>
      <c r="AE80" s="100"/>
    </row>
    <row r="81" spans="1:31">
      <c r="Z81" s="248" t="s">
        <v>356</v>
      </c>
      <c r="AA81" s="248"/>
      <c r="AB81" s="248"/>
      <c r="AC81" s="248"/>
      <c r="AD81" s="112">
        <f>(AC43+AC41+AC25+AC8)/2</f>
        <v>8701.2000000000007</v>
      </c>
      <c r="AE81" s="100"/>
    </row>
    <row r="82" spans="1:31">
      <c r="A82" s="147"/>
      <c r="Z82" s="73"/>
      <c r="AA82" s="73"/>
      <c r="AB82" s="73"/>
      <c r="AC82" s="73"/>
      <c r="AD82" s="73"/>
    </row>
    <row r="83" spans="1:31" ht="33" customHeight="1">
      <c r="Z83" s="264" t="s">
        <v>357</v>
      </c>
      <c r="AA83" s="264"/>
      <c r="AB83" s="264"/>
      <c r="AC83" s="264"/>
      <c r="AD83" s="112">
        <v>305000</v>
      </c>
      <c r="AE83" s="100"/>
    </row>
  </sheetData>
  <mergeCells count="4">
    <mergeCell ref="Z83:AC83"/>
    <mergeCell ref="I2:P3"/>
    <mergeCell ref="Z79:AC79"/>
    <mergeCell ref="Z81:AC81"/>
  </mergeCells>
  <pageMargins left="0.70866141732283472" right="0.70866141732283472" top="0.74803149606299213" bottom="0.74803149606299213" header="0.31496062992125984" footer="0.31496062992125984"/>
  <pageSetup paperSize="8" scale="77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trienios 2024</vt:lpstr>
      <vt:lpstr>TABLA SALARIAL 2024 (23 X 2%)</vt:lpstr>
      <vt:lpstr>personal imd 2024</vt:lpstr>
      <vt:lpstr>trienios 2025</vt:lpstr>
      <vt:lpstr>SIMULACRO TABLA 24</vt:lpstr>
      <vt:lpstr>PRESUPUESTO 2025 CAP1</vt:lpstr>
      <vt:lpstr>Hoja1</vt:lpstr>
      <vt:lpstr>ESTABILIZACIÓN PERSONAL TEMP.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Francisco Gonzalez</dc:creator>
  <cp:lastModifiedBy>Eloy García Armas</cp:lastModifiedBy>
  <cp:lastPrinted>2025-04-03T17:23:45Z</cp:lastPrinted>
  <dcterms:created xsi:type="dcterms:W3CDTF">2019-10-21T12:57:48Z</dcterms:created>
  <dcterms:modified xsi:type="dcterms:W3CDTF">2025-04-03T17:32:31Z</dcterms:modified>
</cp:coreProperties>
</file>